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codeName="ThisWorkbook"/>
  <mc:AlternateContent xmlns:mc="http://schemas.openxmlformats.org/markup-compatibility/2006">
    <mc:Choice Requires="x15">
      <x15ac:absPath xmlns:x15ac="http://schemas.microsoft.com/office/spreadsheetml/2010/11/ac" url="https://apcdeloitte.sharepoint.com/sites/STUINSTS/Shared Documents/Assignment/InSTS Format/"/>
    </mc:Choice>
  </mc:AlternateContent>
  <xr:revisionPtr revIDLastSave="0" documentId="8_{BC1D9F8E-10B2-4C0C-B85B-90FD2784ADB0}" xr6:coauthVersionLast="47" xr6:coauthVersionMax="47" xr10:uidLastSave="{00000000-0000-0000-0000-000000000000}"/>
  <bookViews>
    <workbookView xWindow="-108" yWindow="-108" windowWidth="23256" windowHeight="12456" tabRatio="897" xr2:uid="{00000000-000D-0000-FFFF-FFFF00000000}"/>
  </bookViews>
  <sheets>
    <sheet name="Index" sheetId="44" r:id="rId1"/>
    <sheet name="F1 " sheetId="2" r:id="rId2"/>
    <sheet name="F2" sheetId="65" r:id="rId3"/>
    <sheet name="POA Data" sheetId="103" r:id="rId4"/>
    <sheet name="F3 A" sheetId="91" r:id="rId5"/>
    <sheet name="F3B" sheetId="92" r:id="rId6"/>
    <sheet name="F4" sheetId="3" r:id="rId7"/>
    <sheet name="F5" sheetId="14" r:id="rId8"/>
    <sheet name="F6" sheetId="76" r:id="rId9"/>
    <sheet name="F7" sheetId="90" r:id="rId10"/>
    <sheet name="Energy Accounting" sheetId="100" r:id="rId11"/>
    <sheet name="True Up FY23 FY 24 (2)" sheetId="102" state="hidden" r:id="rId12"/>
    <sheet name="True Up FY23 FY24" sheetId="94" r:id="rId13"/>
    <sheet name="APTEL Revision for Adjusted POA" sheetId="104" r:id="rId14"/>
    <sheet name="Past True Up FY21 FY22" sheetId="105" r:id="rId15"/>
    <sheet name="True-up Cross check" sheetId="101" state="hidden" r:id="rId16"/>
    <sheet name="Outstanding Balance" sheetId="95" state="hidden" r:id="rId17"/>
    <sheet name="Tr L ARR" sheetId="93" r:id="rId18"/>
    <sheet name="DL_PD_ES" sheetId="106" r:id="rId19"/>
    <sheet name="Base TCR" sheetId="96" r:id="rId20"/>
    <sheet name="Demand Projections Historical" sheetId="97" r:id="rId21"/>
    <sheet name="Demand Projections RA" sheetId="99" r:id="rId22"/>
    <sheet name="Demand Projection Final" sheetId="9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 localSheetId="22">'Demand Projection Final'!#REF!</definedName>
    <definedName name="\a" localSheetId="20">#REF!</definedName>
    <definedName name="\a" localSheetId="21">'Demand Projections RA'!#REF!</definedName>
    <definedName name="\a" localSheetId="4">#REF!</definedName>
    <definedName name="\a" localSheetId="5">#REF!</definedName>
    <definedName name="\a" localSheetId="9">#REF!</definedName>
    <definedName name="\a" localSheetId="3">'POA Data'!#REF!</definedName>
    <definedName name="\a">#REF!</definedName>
    <definedName name="\b" localSheetId="22">'Demand Projection Final'!#REF!</definedName>
    <definedName name="\b" localSheetId="20">#REF!</definedName>
    <definedName name="\b" localSheetId="21">'Demand Projections RA'!#REF!</definedName>
    <definedName name="\b" localSheetId="4">#REF!</definedName>
    <definedName name="\b" localSheetId="5">#REF!</definedName>
    <definedName name="\b" localSheetId="9">#REF!</definedName>
    <definedName name="\b" localSheetId="3">'POA Data'!#REF!</definedName>
    <definedName name="\b">#REF!</definedName>
    <definedName name="\c" localSheetId="22">'Demand Projection Final'!#REF!</definedName>
    <definedName name="\c" localSheetId="20">#REF!</definedName>
    <definedName name="\c" localSheetId="21">'Demand Projections RA'!#REF!</definedName>
    <definedName name="\c" localSheetId="4">#REF!</definedName>
    <definedName name="\c" localSheetId="5">#REF!</definedName>
    <definedName name="\c" localSheetId="9">#REF!</definedName>
    <definedName name="\c" localSheetId="3">'POA Data'!#REF!</definedName>
    <definedName name="\c">#REF!</definedName>
    <definedName name="\d" localSheetId="22">'Demand Projection Final'!#REF!</definedName>
    <definedName name="\d" localSheetId="20">#REF!</definedName>
    <definedName name="\d" localSheetId="21">'Demand Projections RA'!#REF!</definedName>
    <definedName name="\d" localSheetId="4">#REF!</definedName>
    <definedName name="\d" localSheetId="5">#REF!</definedName>
    <definedName name="\d" localSheetId="9">#REF!</definedName>
    <definedName name="\d" localSheetId="3">'POA Data'!#REF!</definedName>
    <definedName name="\d">#REF!</definedName>
    <definedName name="\e" localSheetId="22">'Demand Projection Final'!#REF!</definedName>
    <definedName name="\e" localSheetId="20">#REF!</definedName>
    <definedName name="\e" localSheetId="21">'Demand Projections RA'!#REF!</definedName>
    <definedName name="\e" localSheetId="4">#REF!</definedName>
    <definedName name="\e" localSheetId="5">#REF!</definedName>
    <definedName name="\e" localSheetId="9">#REF!</definedName>
    <definedName name="\e" localSheetId="3">'POA Data'!#REF!</definedName>
    <definedName name="\e">#REF!</definedName>
    <definedName name="\f" localSheetId="22">'Demand Projection Final'!#REF!</definedName>
    <definedName name="\f" localSheetId="20">#REF!</definedName>
    <definedName name="\f" localSheetId="21">'Demand Projections RA'!#REF!</definedName>
    <definedName name="\f" localSheetId="4">#REF!</definedName>
    <definedName name="\f" localSheetId="5">#REF!</definedName>
    <definedName name="\f" localSheetId="9">#REF!</definedName>
    <definedName name="\f" localSheetId="3">'POA Data'!#REF!</definedName>
    <definedName name="\f">#REF!</definedName>
    <definedName name="\g" localSheetId="22">'Demand Projection Final'!#REF!</definedName>
    <definedName name="\g" localSheetId="20">#REF!</definedName>
    <definedName name="\g" localSheetId="21">'Demand Projections RA'!#REF!</definedName>
    <definedName name="\g" localSheetId="4">#REF!</definedName>
    <definedName name="\g" localSheetId="5">#REF!</definedName>
    <definedName name="\g" localSheetId="9">#REF!</definedName>
    <definedName name="\g" localSheetId="3">'POA Data'!#REF!</definedName>
    <definedName name="\g">#REF!</definedName>
    <definedName name="\j" localSheetId="22">'Demand Projection Final'!#REF!</definedName>
    <definedName name="\j" localSheetId="20">#REF!</definedName>
    <definedName name="\j" localSheetId="21">'Demand Projections RA'!#REF!</definedName>
    <definedName name="\j" localSheetId="4">#REF!</definedName>
    <definedName name="\j" localSheetId="5">#REF!</definedName>
    <definedName name="\j" localSheetId="9">#REF!</definedName>
    <definedName name="\j" localSheetId="3">'POA Data'!#REF!</definedName>
    <definedName name="\j">#REF!</definedName>
    <definedName name="\k" localSheetId="22">'Demand Projection Final'!#REF!</definedName>
    <definedName name="\k" localSheetId="20">#REF!</definedName>
    <definedName name="\k" localSheetId="21">'Demand Projections RA'!#REF!</definedName>
    <definedName name="\k" localSheetId="4">#REF!</definedName>
    <definedName name="\k" localSheetId="5">#REF!</definedName>
    <definedName name="\k" localSheetId="9">#REF!</definedName>
    <definedName name="\k" localSheetId="3">'POA Data'!#REF!</definedName>
    <definedName name="\k">#REF!</definedName>
    <definedName name="\m" localSheetId="22">'Demand Projection Final'!#REF!</definedName>
    <definedName name="\m" localSheetId="20">#REF!</definedName>
    <definedName name="\m" localSheetId="21">'Demand Projections RA'!#REF!</definedName>
    <definedName name="\m" localSheetId="4">#REF!</definedName>
    <definedName name="\m" localSheetId="5">#REF!</definedName>
    <definedName name="\m" localSheetId="9">#REF!</definedName>
    <definedName name="\m" localSheetId="3">'POA Data'!#REF!</definedName>
    <definedName name="\m">#REF!</definedName>
    <definedName name="\n" localSheetId="22">'Demand Projection Final'!#REF!</definedName>
    <definedName name="\n" localSheetId="20">#REF!</definedName>
    <definedName name="\n" localSheetId="21">'Demand Projections RA'!#REF!</definedName>
    <definedName name="\n" localSheetId="4">#REF!</definedName>
    <definedName name="\n" localSheetId="5">#REF!</definedName>
    <definedName name="\n" localSheetId="9">#REF!</definedName>
    <definedName name="\n" localSheetId="3">'POA Data'!#REF!</definedName>
    <definedName name="\n">#REF!</definedName>
    <definedName name="\o" localSheetId="22">'Demand Projection Final'!#REF!</definedName>
    <definedName name="\o" localSheetId="20">#REF!</definedName>
    <definedName name="\o" localSheetId="21">'Demand Projections RA'!#REF!</definedName>
    <definedName name="\o" localSheetId="4">#REF!</definedName>
    <definedName name="\o" localSheetId="5">#REF!</definedName>
    <definedName name="\o" localSheetId="9">#REF!</definedName>
    <definedName name="\o" localSheetId="3">'POA Data'!#REF!</definedName>
    <definedName name="\o">#REF!</definedName>
    <definedName name="\p" localSheetId="22">'Demand Projection Final'!#REF!</definedName>
    <definedName name="\p" localSheetId="20">#REF!</definedName>
    <definedName name="\p" localSheetId="21">'Demand Projections RA'!#REF!</definedName>
    <definedName name="\p" localSheetId="4">#REF!</definedName>
    <definedName name="\p" localSheetId="5">#REF!</definedName>
    <definedName name="\p" localSheetId="9">#REF!</definedName>
    <definedName name="\p" localSheetId="3">'POA Data'!#REF!</definedName>
    <definedName name="\p">#REF!</definedName>
    <definedName name="\s" localSheetId="22">'Demand Projection Final'!#REF!</definedName>
    <definedName name="\s" localSheetId="20">#REF!</definedName>
    <definedName name="\s" localSheetId="21">'Demand Projections RA'!#REF!</definedName>
    <definedName name="\s" localSheetId="4">#REF!</definedName>
    <definedName name="\s" localSheetId="5">#REF!</definedName>
    <definedName name="\s" localSheetId="9">#REF!</definedName>
    <definedName name="\s" localSheetId="3">'POA Data'!#REF!</definedName>
    <definedName name="\s">#REF!</definedName>
    <definedName name="\t" localSheetId="22">'Demand Projection Final'!#REF!</definedName>
    <definedName name="\t" localSheetId="20">#REF!</definedName>
    <definedName name="\t" localSheetId="21">'Demand Projections RA'!#REF!</definedName>
    <definedName name="\t" localSheetId="4">#REF!</definedName>
    <definedName name="\t" localSheetId="5">#REF!</definedName>
    <definedName name="\t" localSheetId="9">#REF!</definedName>
    <definedName name="\t" localSheetId="3">'POA Data'!#REF!</definedName>
    <definedName name="\t">#REF!</definedName>
    <definedName name="\w" localSheetId="22">'Demand Projection Final'!#REF!</definedName>
    <definedName name="\w" localSheetId="20">#REF!</definedName>
    <definedName name="\w" localSheetId="21">'Demand Projections RA'!#REF!</definedName>
    <definedName name="\w" localSheetId="4">#REF!</definedName>
    <definedName name="\w" localSheetId="5">#REF!</definedName>
    <definedName name="\w" localSheetId="9">#REF!</definedName>
    <definedName name="\w" localSheetId="3">'POA Data'!#REF!</definedName>
    <definedName name="\w">#REF!</definedName>
    <definedName name="\x" localSheetId="22">'Demand Projection Final'!#REF!</definedName>
    <definedName name="\x" localSheetId="20">#REF!</definedName>
    <definedName name="\x" localSheetId="21">'Demand Projections RA'!#REF!</definedName>
    <definedName name="\x" localSheetId="4">#REF!</definedName>
    <definedName name="\x" localSheetId="5">#REF!</definedName>
    <definedName name="\x" localSheetId="9">#REF!</definedName>
    <definedName name="\x" localSheetId="3">'POA Data'!#REF!</definedName>
    <definedName name="\x">#REF!</definedName>
    <definedName name="\z" localSheetId="22">'Demand Projection Final'!#REF!</definedName>
    <definedName name="\z" localSheetId="20">#REF!</definedName>
    <definedName name="\z" localSheetId="21">'Demand Projections RA'!#REF!</definedName>
    <definedName name="\z" localSheetId="4">#REF!</definedName>
    <definedName name="\z" localSheetId="5">#REF!</definedName>
    <definedName name="\z" localSheetId="9">#REF!</definedName>
    <definedName name="\z" localSheetId="3">'POA Data'!#REF!</definedName>
    <definedName name="\z">#REF!</definedName>
    <definedName name="_" localSheetId="22">'Demand Projection Final'!#REF!</definedName>
    <definedName name="_" localSheetId="20">#REF!</definedName>
    <definedName name="_" localSheetId="21">'Demand Projections RA'!#REF!</definedName>
    <definedName name="_" localSheetId="4">#REF!</definedName>
    <definedName name="_" localSheetId="5">#REF!</definedName>
    <definedName name="_" localSheetId="9">#REF!</definedName>
    <definedName name="_" localSheetId="3">'POA Data'!#REF!</definedName>
    <definedName name="_">#REF!</definedName>
    <definedName name="_.._D__D__D__D_" localSheetId="22">'Demand Projection Final'!#REF!</definedName>
    <definedName name="_.._D__D__D__D_" localSheetId="20">#REF!</definedName>
    <definedName name="_.._D__D__D__D_" localSheetId="21">'Demand Projections RA'!#REF!</definedName>
    <definedName name="_.._D__D__D__D_" localSheetId="4">#REF!</definedName>
    <definedName name="_.._D__D__D__D_" localSheetId="5">#REF!</definedName>
    <definedName name="_.._D__D__D__D_" localSheetId="9">#REF!</definedName>
    <definedName name="_.._D__D__D__D_" localSheetId="3">'POA Data'!#REF!</definedName>
    <definedName name="_.._D__D__D__D_">#REF!</definedName>
    <definedName name="_________XL__ENTER_UNIT" localSheetId="22">'Demand Projection Final'!#REF!</definedName>
    <definedName name="_________XL__ENTER_UNIT" localSheetId="20">#REF!</definedName>
    <definedName name="_________XL__ENTER_UNIT" localSheetId="21">'Demand Projections RA'!#REF!</definedName>
    <definedName name="_________XL__ENTER_UNIT" localSheetId="4">#REF!</definedName>
    <definedName name="_________XL__ENTER_UNIT" localSheetId="5">#REF!</definedName>
    <definedName name="_________XL__ENTER_UNIT" localSheetId="9">#REF!</definedName>
    <definedName name="_________XL__ENTER_UNIT" localSheetId="3">'POA Data'!#REF!</definedName>
    <definedName name="_________XL__ENTER_UNIT">#REF!</definedName>
    <definedName name="_______SCH6" localSheetId="22">'[1]04REL'!#REF!</definedName>
    <definedName name="_______SCH6" localSheetId="20">'[1]04REL'!#REF!</definedName>
    <definedName name="_______SCH6" localSheetId="21">'[1]04REL'!#REF!</definedName>
    <definedName name="_______SCH6" localSheetId="4">'[1]04REL'!#REF!</definedName>
    <definedName name="_______SCH6" localSheetId="5">'[1]04REL'!#REF!</definedName>
    <definedName name="_______SCH6" localSheetId="3">'[1]04REL'!#REF!</definedName>
    <definedName name="_______SCH6">'[1]04REL'!#REF!</definedName>
    <definedName name="_______XL__ENTER_UNIT" localSheetId="22">'Demand Projection Final'!#REF!</definedName>
    <definedName name="_______XL__ENTER_UNIT" localSheetId="20">#REF!</definedName>
    <definedName name="_______XL__ENTER_UNIT" localSheetId="21">'Demand Projections RA'!#REF!</definedName>
    <definedName name="_______XL__ENTER_UNIT" localSheetId="4">#REF!</definedName>
    <definedName name="_______XL__ENTER_UNIT" localSheetId="5">#REF!</definedName>
    <definedName name="_______XL__ENTER_UNIT" localSheetId="9">#REF!</definedName>
    <definedName name="_______XL__ENTER_UNIT" localSheetId="3">'POA Data'!#REF!</definedName>
    <definedName name="_______XL__ENTER_UNIT">#REF!</definedName>
    <definedName name="______SCH6" localSheetId="22">'[1]04REL'!#REF!</definedName>
    <definedName name="______SCH6" localSheetId="20">'[1]04REL'!#REF!</definedName>
    <definedName name="______SCH6" localSheetId="21">'[1]04REL'!#REF!</definedName>
    <definedName name="______SCH6" localSheetId="4">'[1]04REL'!#REF!</definedName>
    <definedName name="______SCH6" localSheetId="5">'[1]04REL'!#REF!</definedName>
    <definedName name="______SCH6" localSheetId="3">'[1]04REL'!#REF!</definedName>
    <definedName name="______SCH6">'[1]04REL'!#REF!</definedName>
    <definedName name="______XL__ENTER_UNIT" localSheetId="22">'Demand Projection Final'!#REF!</definedName>
    <definedName name="______XL__ENTER_UNIT" localSheetId="20">#REF!</definedName>
    <definedName name="______XL__ENTER_UNIT" localSheetId="21">'Demand Projections RA'!#REF!</definedName>
    <definedName name="______XL__ENTER_UNIT" localSheetId="4">#REF!</definedName>
    <definedName name="______XL__ENTER_UNIT" localSheetId="5">#REF!</definedName>
    <definedName name="______XL__ENTER_UNIT" localSheetId="9">#REF!</definedName>
    <definedName name="______XL__ENTER_UNIT" localSheetId="3">'POA Data'!#REF!</definedName>
    <definedName name="______XL__ENTER_UNIT">#REF!</definedName>
    <definedName name="_____SCH6" localSheetId="22">'[1]04REL'!#REF!</definedName>
    <definedName name="_____SCH6" localSheetId="20">'[1]04REL'!#REF!</definedName>
    <definedName name="_____SCH6" localSheetId="21">'[1]04REL'!#REF!</definedName>
    <definedName name="_____SCH6" localSheetId="4">'[1]04REL'!#REF!</definedName>
    <definedName name="_____SCH6" localSheetId="5">'[1]04REL'!#REF!</definedName>
    <definedName name="_____SCH6" localSheetId="3">'[1]04REL'!#REF!</definedName>
    <definedName name="_____SCH6">'[1]04REL'!#REF!</definedName>
    <definedName name="____SCH6" localSheetId="4">'[1]04REL'!#REF!</definedName>
    <definedName name="____SCH6" localSheetId="5">'[1]04REL'!#REF!</definedName>
    <definedName name="____SCH6">'[1]04REL'!#REF!</definedName>
    <definedName name="____XL__ENTER_UNIT" localSheetId="22">'Demand Projection Final'!#REF!</definedName>
    <definedName name="____XL__ENTER_UNIT" localSheetId="20">#REF!</definedName>
    <definedName name="____XL__ENTER_UNIT" localSheetId="21">'Demand Projections RA'!#REF!</definedName>
    <definedName name="____XL__ENTER_UNIT" localSheetId="4">#REF!</definedName>
    <definedName name="____XL__ENTER_UNIT" localSheetId="5">#REF!</definedName>
    <definedName name="____XL__ENTER_UNIT" localSheetId="9">#REF!</definedName>
    <definedName name="____XL__ENTER_UNIT" localSheetId="3">'POA Data'!#REF!</definedName>
    <definedName name="____XL__ENTER_UNIT">#REF!</definedName>
    <definedName name="___INDEX_SHEET___ASAP_Utilities" localSheetId="22">'Demand Projection Final'!#REF!</definedName>
    <definedName name="___INDEX_SHEET___ASAP_Utilities" localSheetId="20">#REF!</definedName>
    <definedName name="___INDEX_SHEET___ASAP_Utilities" localSheetId="21">'Demand Projections RA'!#REF!</definedName>
    <definedName name="___INDEX_SHEET___ASAP_Utilities" localSheetId="4">#REF!</definedName>
    <definedName name="___INDEX_SHEET___ASAP_Utilities" localSheetId="5">#REF!</definedName>
    <definedName name="___INDEX_SHEET___ASAP_Utilities" localSheetId="9">#REF!</definedName>
    <definedName name="___INDEX_SHEET___ASAP_Utilities" localSheetId="3">'POA Data'!#REF!</definedName>
    <definedName name="___INDEX_SHEET___ASAP_Utilities">#REF!</definedName>
    <definedName name="___SCH6" localSheetId="22">'[1]04REL'!#REF!</definedName>
    <definedName name="___SCH6" localSheetId="20">'[1]04REL'!#REF!</definedName>
    <definedName name="___SCH6" localSheetId="21">'[1]04REL'!#REF!</definedName>
    <definedName name="___SCH6" localSheetId="4">'[1]04REL'!#REF!</definedName>
    <definedName name="___SCH6" localSheetId="5">'[1]04REL'!#REF!</definedName>
    <definedName name="___SCH6" localSheetId="3">'[1]04REL'!#REF!</definedName>
    <definedName name="___SCH6">'[1]04REL'!#REF!</definedName>
    <definedName name="___XL__ENTER_UNIT" localSheetId="22">'Demand Projection Final'!#REF!</definedName>
    <definedName name="___XL__ENTER_UNIT" localSheetId="20">#REF!</definedName>
    <definedName name="___XL__ENTER_UNIT" localSheetId="21">'Demand Projections RA'!#REF!</definedName>
    <definedName name="___XL__ENTER_UNIT" localSheetId="4">#REF!</definedName>
    <definedName name="___XL__ENTER_UNIT" localSheetId="5">#REF!</definedName>
    <definedName name="___XL__ENTER_UNIT" localSheetId="9">#REF!</definedName>
    <definedName name="___XL__ENTER_UNIT" localSheetId="3">'POA Data'!#REF!</definedName>
    <definedName name="___XL__ENTER_UNIT">#REF!</definedName>
    <definedName name="__123Graph_A" localSheetId="4" hidden="1">[2]CE!#REF!</definedName>
    <definedName name="__123Graph_A" localSheetId="5" hidden="1">[2]CE!#REF!</definedName>
    <definedName name="__123Graph_A" localSheetId="9" hidden="1">[2]CE!#REF!</definedName>
    <definedName name="__123Graph_A" localSheetId="3" hidden="1">[2]CE!#REF!</definedName>
    <definedName name="__123Graph_A" hidden="1">[2]CE!#REF!</definedName>
    <definedName name="__123Graph_ASTNPLF" localSheetId="4" hidden="1">[2]CE!#REF!</definedName>
    <definedName name="__123Graph_ASTNPLF" localSheetId="5" hidden="1">[2]CE!#REF!</definedName>
    <definedName name="__123Graph_ASTNPLF" localSheetId="9" hidden="1">[2]CE!#REF!</definedName>
    <definedName name="__123Graph_ASTNPLF" hidden="1">[2]CE!#REF!</definedName>
    <definedName name="__123Graph_B" localSheetId="4" hidden="1">[2]CE!#REF!</definedName>
    <definedName name="__123Graph_B" localSheetId="5" hidden="1">[2]CE!#REF!</definedName>
    <definedName name="__123Graph_B" localSheetId="9" hidden="1">[2]CE!#REF!</definedName>
    <definedName name="__123Graph_B" hidden="1">[2]CE!#REF!</definedName>
    <definedName name="__123Graph_BSTNPLF" localSheetId="4" hidden="1">[2]CE!#REF!</definedName>
    <definedName name="__123Graph_BSTNPLF" localSheetId="5" hidden="1">[2]CE!#REF!</definedName>
    <definedName name="__123Graph_BSTNPLF" localSheetId="9" hidden="1">[2]CE!#REF!</definedName>
    <definedName name="__123Graph_BSTNPLF" hidden="1">[2]CE!#REF!</definedName>
    <definedName name="__123Graph_C" localSheetId="4" hidden="1">[2]CE!#REF!</definedName>
    <definedName name="__123Graph_C" localSheetId="5" hidden="1">[2]CE!#REF!</definedName>
    <definedName name="__123Graph_C" localSheetId="9" hidden="1">[2]CE!#REF!</definedName>
    <definedName name="__123Graph_C" hidden="1">[2]CE!#REF!</definedName>
    <definedName name="__123Graph_CSTNPLF" localSheetId="4" hidden="1">[2]CE!#REF!</definedName>
    <definedName name="__123Graph_CSTNPLF" localSheetId="5" hidden="1">[2]CE!#REF!</definedName>
    <definedName name="__123Graph_CSTNPLF" localSheetId="9" hidden="1">[2]CE!#REF!</definedName>
    <definedName name="__123Graph_CSTNPLF" hidden="1">[2]CE!#REF!</definedName>
    <definedName name="__123Graph_X" localSheetId="4" hidden="1">[2]CE!#REF!</definedName>
    <definedName name="__123Graph_X" localSheetId="5" hidden="1">[2]CE!#REF!</definedName>
    <definedName name="__123Graph_X" localSheetId="9" hidden="1">[2]CE!#REF!</definedName>
    <definedName name="__123Graph_X" hidden="1">[2]CE!#REF!</definedName>
    <definedName name="__123Graph_XSTNPLF" localSheetId="4" hidden="1">[2]CE!#REF!</definedName>
    <definedName name="__123Graph_XSTNPLF" localSheetId="5" hidden="1">[2]CE!#REF!</definedName>
    <definedName name="__123Graph_XSTNPLF" localSheetId="9" hidden="1">[2]CE!#REF!</definedName>
    <definedName name="__123Graph_XSTNPLF" hidden="1">[2]CE!#REF!</definedName>
    <definedName name="__DOWN_10__GOTO" localSheetId="22">'Demand Projection Final'!#REF!</definedName>
    <definedName name="__DOWN_10__GOTO" localSheetId="20">#REF!</definedName>
    <definedName name="__DOWN_10__GOTO" localSheetId="21">'Demand Projections RA'!#REF!</definedName>
    <definedName name="__DOWN_10__GOTO" localSheetId="4">#REF!</definedName>
    <definedName name="__DOWN_10__GOTO" localSheetId="5">#REF!</definedName>
    <definedName name="__DOWN_10__GOTO" localSheetId="9">#REF!</definedName>
    <definedName name="__DOWN_10__GOTO" localSheetId="3">'POA Data'!#REF!</definedName>
    <definedName name="__DOWN_10__GOTO">#REF!</definedName>
    <definedName name="__ES84__EW84_0." localSheetId="22">'Demand Projection Final'!#REF!</definedName>
    <definedName name="__ES84__EW84_0." localSheetId="20">#REF!</definedName>
    <definedName name="__ES84__EW84_0." localSheetId="21">'Demand Projections RA'!#REF!</definedName>
    <definedName name="__ES84__EW84_0." localSheetId="4">#REF!</definedName>
    <definedName name="__ES84__EW84_0." localSheetId="5">#REF!</definedName>
    <definedName name="__ES84__EW84_0." localSheetId="9">#REF!</definedName>
    <definedName name="__ES84__EW84_0." localSheetId="3">'POA Data'!#REF!</definedName>
    <definedName name="__ES84__EW84_0.">#REF!</definedName>
    <definedName name="__GOTO_EP84__AV" localSheetId="22">'Demand Projection Final'!#REF!</definedName>
    <definedName name="__GOTO_EP84__AV" localSheetId="20">#REF!</definedName>
    <definedName name="__GOTO_EP84__AV" localSheetId="21">'Demand Projections RA'!#REF!</definedName>
    <definedName name="__GOTO_EP84__AV" localSheetId="4">#REF!</definedName>
    <definedName name="__GOTO_EP84__AV" localSheetId="5">#REF!</definedName>
    <definedName name="__GOTO_EP84__AV" localSheetId="9">#REF!</definedName>
    <definedName name="__GOTO_EP84__AV" localSheetId="3">'POA Data'!#REF!</definedName>
    <definedName name="__GOTO_EP84__AV">#REF!</definedName>
    <definedName name="__SCH6" localSheetId="22">'[1]04REL'!#REF!</definedName>
    <definedName name="__SCH6" localSheetId="20">'[1]04REL'!#REF!</definedName>
    <definedName name="__SCH6" localSheetId="21">'[1]04REL'!#REF!</definedName>
    <definedName name="__SCH6" localSheetId="4">'[1]04REL'!#REF!</definedName>
    <definedName name="__SCH6" localSheetId="5">'[1]04REL'!#REF!</definedName>
    <definedName name="__SCH6" localSheetId="3">'[1]04REL'!#REF!</definedName>
    <definedName name="__SCH6">'[1]04REL'!#REF!</definedName>
    <definedName name="__SUM_CS57..CS6" localSheetId="22">'Demand Projection Final'!#REF!</definedName>
    <definedName name="__SUM_CS57..CS6" localSheetId="20">#REF!</definedName>
    <definedName name="__SUM_CS57..CS6" localSheetId="21">'Demand Projections RA'!#REF!</definedName>
    <definedName name="__SUM_CS57..CS6" localSheetId="4">#REF!</definedName>
    <definedName name="__SUM_CS57..CS6" localSheetId="5">#REF!</definedName>
    <definedName name="__SUM_CS57..CS6" localSheetId="9">#REF!</definedName>
    <definedName name="__SUM_CS57..CS6" localSheetId="3">'POA Data'!#REF!</definedName>
    <definedName name="__SUM_CS57..CS6">#REF!</definedName>
    <definedName name="__SUM_CS65..CS7" localSheetId="22">'Demand Projection Final'!#REF!</definedName>
    <definedName name="__SUM_CS65..CS7" localSheetId="20">#REF!</definedName>
    <definedName name="__SUM_CS65..CS7" localSheetId="21">'Demand Projections RA'!#REF!</definedName>
    <definedName name="__SUM_CS65..CS7" localSheetId="4">#REF!</definedName>
    <definedName name="__SUM_CS65..CS7" localSheetId="5">#REF!</definedName>
    <definedName name="__SUM_CS65..CS7" localSheetId="9">#REF!</definedName>
    <definedName name="__SUM_CS65..CS7" localSheetId="3">'POA Data'!#REF!</definedName>
    <definedName name="__SUM_CS65..CS7">#REF!</definedName>
    <definedName name="__SUM_FQ20..FQ2" localSheetId="22">'Demand Projection Final'!#REF!</definedName>
    <definedName name="__SUM_FQ20..FQ2" localSheetId="20">#REF!</definedName>
    <definedName name="__SUM_FQ20..FQ2" localSheetId="21">'Demand Projections RA'!#REF!</definedName>
    <definedName name="__SUM_FQ20..FQ2" localSheetId="4">#REF!</definedName>
    <definedName name="__SUM_FQ20..FQ2" localSheetId="5">#REF!</definedName>
    <definedName name="__SUM_FQ20..FQ2" localSheetId="9">#REF!</definedName>
    <definedName name="__SUM_FQ20..FQ2" localSheetId="3">'POA Data'!#REF!</definedName>
    <definedName name="__SUM_FQ20..FQ2">#REF!</definedName>
    <definedName name="__SUM_FQ28..FQ3" localSheetId="22">'Demand Projection Final'!#REF!</definedName>
    <definedName name="__SUM_FQ28..FQ3" localSheetId="20">#REF!</definedName>
    <definedName name="__SUM_FQ28..FQ3" localSheetId="21">'Demand Projections RA'!#REF!</definedName>
    <definedName name="__SUM_FQ28..FQ3" localSheetId="4">#REF!</definedName>
    <definedName name="__SUM_FQ28..FQ3" localSheetId="5">#REF!</definedName>
    <definedName name="__SUM_FQ28..FQ3" localSheetId="9">#REF!</definedName>
    <definedName name="__SUM_FQ28..FQ3" localSheetId="3">'POA Data'!#REF!</definedName>
    <definedName name="__SUM_FQ28..FQ3">#REF!</definedName>
    <definedName name="__XL__ENTER_UNIT" localSheetId="22">'Demand Projection Final'!#REF!</definedName>
    <definedName name="__XL__ENTER_UNIT" localSheetId="20">#REF!</definedName>
    <definedName name="__XL__ENTER_UNIT" localSheetId="21">'Demand Projections RA'!#REF!</definedName>
    <definedName name="__XL__ENTER_UNIT" localSheetId="4">#REF!</definedName>
    <definedName name="__XL__ENTER_UNIT" localSheetId="5">#REF!</definedName>
    <definedName name="__XL__ENTER_UNIT" localSheetId="9">#REF!</definedName>
    <definedName name="__XL__ENTER_UNIT" localSheetId="3">'POA Data'!#REF!</definedName>
    <definedName name="__XL__ENTER_UNIT">#REF!</definedName>
    <definedName name="_5" localSheetId="22">'Demand Projection Final'!#REF!</definedName>
    <definedName name="_5" localSheetId="20">#REF!</definedName>
    <definedName name="_5" localSheetId="21">'Demand Projections RA'!#REF!</definedName>
    <definedName name="_5" localSheetId="4">#REF!</definedName>
    <definedName name="_5" localSheetId="5">#REF!</definedName>
    <definedName name="_5" localSheetId="9">#REF!</definedName>
    <definedName name="_5" localSheetId="3">'POA Data'!#REF!</definedName>
    <definedName name="_5">#REF!</definedName>
    <definedName name="_6" localSheetId="22">'Demand Projection Final'!#REF!</definedName>
    <definedName name="_6" localSheetId="20">#REF!</definedName>
    <definedName name="_6" localSheetId="21">'Demand Projections RA'!#REF!</definedName>
    <definedName name="_6" localSheetId="4">#REF!</definedName>
    <definedName name="_6" localSheetId="5">#REF!</definedName>
    <definedName name="_6" localSheetId="9">#REF!</definedName>
    <definedName name="_6" localSheetId="3">'POA Data'!#REF!</definedName>
    <definedName name="_6">#REF!</definedName>
    <definedName name="_D___GOTO_GK112" localSheetId="22">'Demand Projection Final'!#REF!</definedName>
    <definedName name="_D___GOTO_GK112" localSheetId="20">#REF!</definedName>
    <definedName name="_D___GOTO_GK112" localSheetId="21">'Demand Projections RA'!#REF!</definedName>
    <definedName name="_D___GOTO_GK112" localSheetId="4">#REF!</definedName>
    <definedName name="_D___GOTO_GK112" localSheetId="5">#REF!</definedName>
    <definedName name="_D___GOTO_GK112" localSheetId="9">#REF!</definedName>
    <definedName name="_D___GOTO_GK112" localSheetId="3">'POA Data'!#REF!</definedName>
    <definedName name="_D___GOTO_GK112">#REF!</definedName>
    <definedName name="_D___GOTO_GK56_" localSheetId="22">'Demand Projection Final'!#REF!</definedName>
    <definedName name="_D___GOTO_GK56_" localSheetId="20">#REF!</definedName>
    <definedName name="_D___GOTO_GK56_" localSheetId="21">'Demand Projections RA'!#REF!</definedName>
    <definedName name="_D___GOTO_GK56_" localSheetId="4">#REF!</definedName>
    <definedName name="_D___GOTO_GK56_" localSheetId="5">#REF!</definedName>
    <definedName name="_D___GOTO_GK56_" localSheetId="9">#REF!</definedName>
    <definedName name="_D___GOTO_GK56_" localSheetId="3">'POA Data'!#REF!</definedName>
    <definedName name="_D___GOTO_GK56_">#REF!</definedName>
    <definedName name="_D__D___L___GOT" localSheetId="22">'Demand Projection Final'!#REF!</definedName>
    <definedName name="_D__D___L___GOT" localSheetId="20">#REF!</definedName>
    <definedName name="_D__D___L___GOT" localSheetId="21">'Demand Projections RA'!#REF!</definedName>
    <definedName name="_D__D___L___GOT" localSheetId="4">#REF!</definedName>
    <definedName name="_D__D___L___GOT" localSheetId="5">#REF!</definedName>
    <definedName name="_D__D___L___GOT" localSheetId="9">#REF!</definedName>
    <definedName name="_D__D___L___GOT" localSheetId="3">'POA Data'!#REF!</definedName>
    <definedName name="_D__D___L___GOT">#REF!</definedName>
    <definedName name="_D__D__D___D__D" localSheetId="22">'Demand Projection Final'!#REF!</definedName>
    <definedName name="_D__D__D___D__D" localSheetId="20">#REF!</definedName>
    <definedName name="_D__D__D___D__D" localSheetId="21">'Demand Projections RA'!#REF!</definedName>
    <definedName name="_D__D__D___D__D" localSheetId="4">#REF!</definedName>
    <definedName name="_D__D__D___D__D" localSheetId="5">#REF!</definedName>
    <definedName name="_D__D__D___D__D" localSheetId="9">#REF!</definedName>
    <definedName name="_D__D__D___D__D" localSheetId="3">'POA Data'!#REF!</definedName>
    <definedName name="_D__D__D___D__D">#REF!</definedName>
    <definedName name="_D_19__U_19_" localSheetId="22">'Demand Projection Final'!#REF!</definedName>
    <definedName name="_D_19__U_19_" localSheetId="20">#REF!</definedName>
    <definedName name="_D_19__U_19_" localSheetId="21">'Demand Projections RA'!#REF!</definedName>
    <definedName name="_D_19__U_19_" localSheetId="4">#REF!</definedName>
    <definedName name="_D_19__U_19_" localSheetId="5">#REF!</definedName>
    <definedName name="_D_19__U_19_" localSheetId="9">#REF!</definedName>
    <definedName name="_D_19__U_19_" localSheetId="3">'POA Data'!#REF!</definedName>
    <definedName name="_D_19__U_19_">#REF!</definedName>
    <definedName name="_DOWN_9__RIGHT_" localSheetId="22">'Demand Projection Final'!#REF!</definedName>
    <definedName name="_DOWN_9__RIGHT_" localSheetId="20">#REF!</definedName>
    <definedName name="_DOWN_9__RIGHT_" localSheetId="21">'Demand Projections RA'!#REF!</definedName>
    <definedName name="_DOWN_9__RIGHT_" localSheetId="4">#REF!</definedName>
    <definedName name="_DOWN_9__RIGHT_" localSheetId="5">#REF!</definedName>
    <definedName name="_DOWN_9__RIGHT_" localSheetId="9">#REF!</definedName>
    <definedName name="_DOWN_9__RIGHT_" localSheetId="3">'POA Data'!#REF!</definedName>
    <definedName name="_DOWN_9__RIGHT_">#REF!</definedName>
    <definedName name="_Fill" localSheetId="22" hidden="1">'Demand Projection Final'!#REF!</definedName>
    <definedName name="_Fill" localSheetId="20" hidden="1">#REF!</definedName>
    <definedName name="_Fill" localSheetId="21" hidden="1">'Demand Projections RA'!#REF!</definedName>
    <definedName name="_Fill" localSheetId="4" hidden="1">#REF!</definedName>
    <definedName name="_Fill" localSheetId="5" hidden="1">#REF!</definedName>
    <definedName name="_Fill" localSheetId="9" hidden="1">#REF!</definedName>
    <definedName name="_Fill" localSheetId="3" hidden="1">'POA Data'!#REF!</definedName>
    <definedName name="_Fill" hidden="1">#REF!</definedName>
    <definedName name="_FROM__R__R__08" localSheetId="22">'Demand Projection Final'!#REF!</definedName>
    <definedName name="_FROM__R__R__08" localSheetId="20">#REF!</definedName>
    <definedName name="_FROM__R__R__08" localSheetId="21">'Demand Projections RA'!#REF!</definedName>
    <definedName name="_FROM__R__R__08" localSheetId="4">#REF!</definedName>
    <definedName name="_FROM__R__R__08" localSheetId="5">#REF!</definedName>
    <definedName name="_FROM__R__R__08" localSheetId="9">#REF!</definedName>
    <definedName name="_FROM__R__R__08" localSheetId="3">'POA Data'!#REF!</definedName>
    <definedName name="_FROM__R__R__08">#REF!</definedName>
    <definedName name="_FROM__R__R__16" localSheetId="22">'Demand Projection Final'!#REF!</definedName>
    <definedName name="_FROM__R__R__16" localSheetId="20">#REF!</definedName>
    <definedName name="_FROM__R__R__16" localSheetId="21">'Demand Projections RA'!#REF!</definedName>
    <definedName name="_FROM__R__R__16" localSheetId="4">#REF!</definedName>
    <definedName name="_FROM__R__R__16" localSheetId="5">#REF!</definedName>
    <definedName name="_FROM__R__R__16" localSheetId="9">#REF!</definedName>
    <definedName name="_FROM__R__R__16" localSheetId="3">'POA Data'!#REF!</definedName>
    <definedName name="_FROM__R__R__16">#REF!</definedName>
    <definedName name="_GENERATION__R_" localSheetId="22">'Demand Projection Final'!#REF!</definedName>
    <definedName name="_GENERATION__R_" localSheetId="20">#REF!</definedName>
    <definedName name="_GENERATION__R_" localSheetId="21">'Demand Projections RA'!#REF!</definedName>
    <definedName name="_GENERATION__R_" localSheetId="4">#REF!</definedName>
    <definedName name="_GENERATION__R_" localSheetId="5">#REF!</definedName>
    <definedName name="_GENERATION__R_" localSheetId="9">#REF!</definedName>
    <definedName name="_GENERATION__R_" localSheetId="3">'POA Data'!#REF!</definedName>
    <definedName name="_GENERATION__R_">#REF!</definedName>
    <definedName name="_GOTO_BT49__R__" localSheetId="22">'Demand Projection Final'!#REF!</definedName>
    <definedName name="_GOTO_BT49__R__" localSheetId="20">#REF!</definedName>
    <definedName name="_GOTO_BT49__R__" localSheetId="21">'Demand Projections RA'!#REF!</definedName>
    <definedName name="_GOTO_BT49__R__" localSheetId="4">#REF!</definedName>
    <definedName name="_GOTO_BT49__R__" localSheetId="5">#REF!</definedName>
    <definedName name="_GOTO_BT49__R__" localSheetId="9">#REF!</definedName>
    <definedName name="_GOTO_BT49__R__" localSheetId="3">'POA Data'!#REF!</definedName>
    <definedName name="_GOTO_BT49__R__">#REF!</definedName>
    <definedName name="_GOTO_CF11__?__" localSheetId="22">'Demand Projection Final'!#REF!</definedName>
    <definedName name="_GOTO_CF11__?__" localSheetId="20">#REF!</definedName>
    <definedName name="_GOTO_CF11__?__" localSheetId="21">'Demand Projections RA'!#REF!</definedName>
    <definedName name="_GOTO_CF11__?__" localSheetId="4">#REF!</definedName>
    <definedName name="_GOTO_CF11__?__" localSheetId="5">#REF!</definedName>
    <definedName name="_GOTO_CF11__?__" localSheetId="9">#REF!</definedName>
    <definedName name="_GOTO_CF11__?__" localSheetId="3">'POA Data'!#REF!</definedName>
    <definedName name="_GOTO_CF11__?__">#REF!</definedName>
    <definedName name="_GOTO_EO75__WEK" localSheetId="22">'Demand Projection Final'!#REF!</definedName>
    <definedName name="_GOTO_EO75__WEK" localSheetId="20">#REF!</definedName>
    <definedName name="_GOTO_EO75__WEK" localSheetId="21">'Demand Projections RA'!#REF!</definedName>
    <definedName name="_GOTO_EO75__WEK" localSheetId="4">#REF!</definedName>
    <definedName name="_GOTO_EO75__WEK" localSheetId="5">#REF!</definedName>
    <definedName name="_GOTO_EO75__WEK" localSheetId="9">#REF!</definedName>
    <definedName name="_GOTO_EO75__WEK" localSheetId="3">'POA Data'!#REF!</definedName>
    <definedName name="_GOTO_EO75__WEK">#REF!</definedName>
    <definedName name="_GOTO_EP82__PEA" localSheetId="22">'Demand Projection Final'!#REF!</definedName>
    <definedName name="_GOTO_EP82__PEA" localSheetId="20">#REF!</definedName>
    <definedName name="_GOTO_EP82__PEA" localSheetId="21">'Demand Projections RA'!#REF!</definedName>
    <definedName name="_GOTO_EP82__PEA" localSheetId="4">#REF!</definedName>
    <definedName name="_GOTO_EP82__PEA" localSheetId="5">#REF!</definedName>
    <definedName name="_GOTO_EP82__PEA" localSheetId="9">#REF!</definedName>
    <definedName name="_GOTO_EP82__PEA" localSheetId="3">'POA Data'!#REF!</definedName>
    <definedName name="_GOTO_EP82__PEA">#REF!</definedName>
    <definedName name="_GOTO_EP86__PER" localSheetId="22">'Demand Projection Final'!#REF!</definedName>
    <definedName name="_GOTO_EP86__PER" localSheetId="20">#REF!</definedName>
    <definedName name="_GOTO_EP86__PER" localSheetId="21">'Demand Projections RA'!#REF!</definedName>
    <definedName name="_GOTO_EP86__PER" localSheetId="4">#REF!</definedName>
    <definedName name="_GOTO_EP86__PER" localSheetId="5">#REF!</definedName>
    <definedName name="_GOTO_EP86__PER" localSheetId="9">#REF!</definedName>
    <definedName name="_GOTO_EP86__PER" localSheetId="3">'POA Data'!#REF!</definedName>
    <definedName name="_GOTO_EP86__PER">#REF!</definedName>
    <definedName name="_GOTO_FO112__RV" localSheetId="22">'Demand Projection Final'!#REF!</definedName>
    <definedName name="_GOTO_FO112__RV" localSheetId="20">#REF!</definedName>
    <definedName name="_GOTO_FO112__RV" localSheetId="21">'Demand Projections RA'!#REF!</definedName>
    <definedName name="_GOTO_FO112__RV" localSheetId="4">#REF!</definedName>
    <definedName name="_GOTO_FO112__RV" localSheetId="5">#REF!</definedName>
    <definedName name="_GOTO_FO112__RV" localSheetId="9">#REF!</definedName>
    <definedName name="_GOTO_FO112__RV" localSheetId="3">'POA Data'!#REF!</definedName>
    <definedName name="_GOTO_FO112__RV">#REF!</definedName>
    <definedName name="_GOTO_FO56__RV_" localSheetId="22">'Demand Projection Final'!#REF!</definedName>
    <definedName name="_GOTO_FO56__RV_" localSheetId="20">#REF!</definedName>
    <definedName name="_GOTO_FO56__RV_" localSheetId="21">'Demand Projections RA'!#REF!</definedName>
    <definedName name="_GOTO_FO56__RV_" localSheetId="4">#REF!</definedName>
    <definedName name="_GOTO_FO56__RV_" localSheetId="5">#REF!</definedName>
    <definedName name="_GOTO_FO56__RV_" localSheetId="9">#REF!</definedName>
    <definedName name="_GOTO_FO56__RV_" localSheetId="3">'POA Data'!#REF!</definedName>
    <definedName name="_GOTO_FO56__RV_">#REF!</definedName>
    <definedName name="_HOME__GOTO_M14" localSheetId="22">'Demand Projection Final'!#REF!</definedName>
    <definedName name="_HOME__GOTO_M14" localSheetId="20">#REF!</definedName>
    <definedName name="_HOME__GOTO_M14" localSheetId="21">'Demand Projections RA'!#REF!</definedName>
    <definedName name="_HOME__GOTO_M14" localSheetId="4">#REF!</definedName>
    <definedName name="_HOME__GOTO_M14" localSheetId="5">#REF!</definedName>
    <definedName name="_HOME__GOTO_M14" localSheetId="9">#REF!</definedName>
    <definedName name="_HOME__GOTO_M14" localSheetId="3">'POA Data'!#REF!</definedName>
    <definedName name="_HOME__GOTO_M14">#REF!</definedName>
    <definedName name="_Order1" hidden="1">255</definedName>
    <definedName name="_PLF__R__R___ES" localSheetId="22">'Demand Projection Final'!#REF!</definedName>
    <definedName name="_PLF__R__R___ES" localSheetId="20">#REF!</definedName>
    <definedName name="_PLF__R__R___ES" localSheetId="21">'Demand Projections RA'!#REF!</definedName>
    <definedName name="_PLF__R__R___ES" localSheetId="4">#REF!</definedName>
    <definedName name="_PLF__R__R___ES" localSheetId="5">#REF!</definedName>
    <definedName name="_PLF__R__R___ES" localSheetId="9">#REF!</definedName>
    <definedName name="_PLF__R__R___ES" localSheetId="3">'POA Data'!#REF!</definedName>
    <definedName name="_PLF__R__R___ES">#REF!</definedName>
    <definedName name="_RV_DOWN_6__LEF" localSheetId="22">'Demand Projection Final'!#REF!</definedName>
    <definedName name="_RV_DOWN_6__LEF" localSheetId="20">#REF!</definedName>
    <definedName name="_RV_DOWN_6__LEF" localSheetId="21">'Demand Projections RA'!#REF!</definedName>
    <definedName name="_RV_DOWN_6__LEF" localSheetId="4">#REF!</definedName>
    <definedName name="_RV_DOWN_6__LEF" localSheetId="5">#REF!</definedName>
    <definedName name="_RV_DOWN_6__LEF" localSheetId="9">#REF!</definedName>
    <definedName name="_RV_DOWN_6__LEF" localSheetId="3">'POA Data'!#REF!</definedName>
    <definedName name="_RV_DOWN_6__LEF">#REF!</definedName>
    <definedName name="_SCH6" localSheetId="4">'[1]04REL'!#REF!</definedName>
    <definedName name="_SCH6" localSheetId="5">'[1]04REL'!#REF!</definedName>
    <definedName name="_SCH6" localSheetId="9">'[1]04REL'!#REF!</definedName>
    <definedName name="_SCH6" localSheetId="3">'[1]04REL'!#REF!</definedName>
    <definedName name="_SCH6">'[1]04REL'!#REF!</definedName>
    <definedName name="_SUM_DI14..DI21" localSheetId="22">'Demand Projection Final'!#REF!</definedName>
    <definedName name="_SUM_DI14..DI21" localSheetId="20">#REF!</definedName>
    <definedName name="_SUM_DI14..DI21" localSheetId="21">'Demand Projections RA'!#REF!</definedName>
    <definedName name="_SUM_DI14..DI21" localSheetId="4">#REF!</definedName>
    <definedName name="_SUM_DI14..DI21" localSheetId="5">#REF!</definedName>
    <definedName name="_SUM_DI14..DI21" localSheetId="9">#REF!</definedName>
    <definedName name="_SUM_DI14..DI21" localSheetId="3">'POA Data'!#REF!</definedName>
    <definedName name="_SUM_DI14..DI21">#REF!</definedName>
    <definedName name="_SUM_DI22..DI29" localSheetId="22">'Demand Projection Final'!#REF!</definedName>
    <definedName name="_SUM_DI22..DI29" localSheetId="20">#REF!</definedName>
    <definedName name="_SUM_DI22..DI29" localSheetId="21">'Demand Projections RA'!#REF!</definedName>
    <definedName name="_SUM_DI22..DI29" localSheetId="4">#REF!</definedName>
    <definedName name="_SUM_DI22..DI29" localSheetId="5">#REF!</definedName>
    <definedName name="_SUM_DI22..DI29" localSheetId="9">#REF!</definedName>
    <definedName name="_SUM_DI22..DI29" localSheetId="3">'POA Data'!#REF!</definedName>
    <definedName name="_SUM_DI22..DI29">#REF!</definedName>
    <definedName name="_U__END__U__D__" localSheetId="22">'Demand Projection Final'!#REF!</definedName>
    <definedName name="_U__END__U__D__" localSheetId="20">#REF!</definedName>
    <definedName name="_U__END__U__D__" localSheetId="21">'Demand Projections RA'!#REF!</definedName>
    <definedName name="_U__END__U__D__" localSheetId="4">#REF!</definedName>
    <definedName name="_U__END__U__D__" localSheetId="5">#REF!</definedName>
    <definedName name="_U__END__U__D__" localSheetId="9">#REF!</definedName>
    <definedName name="_U__END__U__D__" localSheetId="3">'POA Data'!#REF!</definedName>
    <definedName name="_U__END__U__D__">#REF!</definedName>
    <definedName name="_U__U__END__U__" localSheetId="22">'Demand Projection Final'!#REF!</definedName>
    <definedName name="_U__U__END__U__" localSheetId="20">#REF!</definedName>
    <definedName name="_U__U__END__U__" localSheetId="21">'Demand Projections RA'!#REF!</definedName>
    <definedName name="_U__U__END__U__" localSheetId="4">#REF!</definedName>
    <definedName name="_U__U__END__U__" localSheetId="5">#REF!</definedName>
    <definedName name="_U__U__END__U__" localSheetId="9">#REF!</definedName>
    <definedName name="_U__U__END__U__" localSheetId="3">'POA Data'!#REF!</definedName>
    <definedName name="_U__U__END__U__">#REF!</definedName>
    <definedName name="_U__U__U__U__U_" localSheetId="22">'Demand Projection Final'!#REF!</definedName>
    <definedName name="_U__U__U__U__U_" localSheetId="20">#REF!</definedName>
    <definedName name="_U__U__U__U__U_" localSheetId="21">'Demand Projections RA'!#REF!</definedName>
    <definedName name="_U__U__U__U__U_" localSheetId="4">#REF!</definedName>
    <definedName name="_U__U__U__U__U_" localSheetId="5">#REF!</definedName>
    <definedName name="_U__U__U__U__U_" localSheetId="9">#REF!</definedName>
    <definedName name="_U__U__U__U__U_" localSheetId="3">'POA Data'!#REF!</definedName>
    <definedName name="_U__U__U__U__U_">#REF!</definedName>
    <definedName name="_WGPD_GOTO_CO10" localSheetId="22">'Demand Projection Final'!#REF!</definedName>
    <definedName name="_WGPD_GOTO_CO10" localSheetId="20">#REF!</definedName>
    <definedName name="_WGPD_GOTO_CO10" localSheetId="21">'Demand Projections RA'!#REF!</definedName>
    <definedName name="_WGPD_GOTO_CO10" localSheetId="4">#REF!</definedName>
    <definedName name="_WGPD_GOTO_CO10" localSheetId="5">#REF!</definedName>
    <definedName name="_WGPD_GOTO_CO10" localSheetId="9">#REF!</definedName>
    <definedName name="_WGPD_GOTO_CO10" localSheetId="3">'POA Data'!#REF!</definedName>
    <definedName name="_WGPD_GOTO_CO10">#REF!</definedName>
    <definedName name="A" localSheetId="22">'Demand Projection Final'!#REF!</definedName>
    <definedName name="A" localSheetId="20">#REF!</definedName>
    <definedName name="A" localSheetId="21">'Demand Projections RA'!#REF!</definedName>
    <definedName name="A" localSheetId="4">#REF!</definedName>
    <definedName name="A" localSheetId="5">#REF!</definedName>
    <definedName name="A" localSheetId="9">#REF!</definedName>
    <definedName name="A" localSheetId="3">'POA Data'!#REF!</definedName>
    <definedName name="A">#REF!</definedName>
    <definedName name="ADL.63">[3]Addl.40!$A$38:$I$284</definedName>
    <definedName name="AuBhu0910" localSheetId="22">[4]Assumption_PwC!$D$7</definedName>
    <definedName name="AuBhu0910" localSheetId="20">[4]Assumption_PwC!$D$7</definedName>
    <definedName name="AuBhu0910" localSheetId="21">[4]Assumption_PwC!$D$7</definedName>
    <definedName name="AuBhu0910" localSheetId="3">[4]Assumption_PwC!$D$7</definedName>
    <definedName name="AuBhu0910">[5]Assumption_PwC!$D$7</definedName>
    <definedName name="AuBhu1011" localSheetId="22">[4]Assumption_PwC!$E$7</definedName>
    <definedName name="AuBhu1011" localSheetId="20">[4]Assumption_PwC!$E$7</definedName>
    <definedName name="AuBhu1011" localSheetId="21">[4]Assumption_PwC!$E$7</definedName>
    <definedName name="AuBhu1011" localSheetId="3">[4]Assumption_PwC!$E$7</definedName>
    <definedName name="AuBhu1011">[5]Assumption_PwC!$E$7</definedName>
    <definedName name="AuCha0910" localSheetId="22">[4]Assumption_PwC!$D$8</definedName>
    <definedName name="AuCha0910" localSheetId="20">[4]Assumption_PwC!$D$8</definedName>
    <definedName name="AuCha0910" localSheetId="21">[4]Assumption_PwC!$D$8</definedName>
    <definedName name="AuCha0910" localSheetId="3">[4]Assumption_PwC!$D$8</definedName>
    <definedName name="AuCha0910">[5]Assumption_PwC!$D$8</definedName>
    <definedName name="AV" localSheetId="22">'Demand Projection Final'!#REF!</definedName>
    <definedName name="AV" localSheetId="20">#REF!</definedName>
    <definedName name="AV" localSheetId="21">'Demand Projections RA'!#REF!</definedName>
    <definedName name="AV" localSheetId="4">#REF!</definedName>
    <definedName name="AV" localSheetId="5">#REF!</definedName>
    <definedName name="AV" localSheetId="9">#REF!</definedName>
    <definedName name="AV" localSheetId="3">'POA Data'!#REF!</definedName>
    <definedName name="AV">#REF!</definedName>
    <definedName name="C_Data_1" localSheetId="4">'[6]2000-01'!#REF!</definedName>
    <definedName name="C_Data_1" localSheetId="5">'[6]2000-01'!#REF!</definedName>
    <definedName name="C_Data_1" localSheetId="9">'[6]2000-01'!#REF!</definedName>
    <definedName name="C_Data_1" localSheetId="3">'[6]2000-01'!#REF!</definedName>
    <definedName name="C_Data_1">'[6]2000-01'!#REF!</definedName>
    <definedName name="C_Data_2" localSheetId="4">'[6]2000-01'!#REF!</definedName>
    <definedName name="C_Data_2" localSheetId="5">'[6]2000-01'!#REF!</definedName>
    <definedName name="C_Data_2" localSheetId="9">'[6]2000-01'!#REF!</definedName>
    <definedName name="C_Data_2">'[6]2000-01'!#REF!</definedName>
    <definedName name="CM10_C_RIGHT___" localSheetId="22">'Demand Projection Final'!#REF!</definedName>
    <definedName name="CM10_C_RIGHT___" localSheetId="20">#REF!</definedName>
    <definedName name="CM10_C_RIGHT___" localSheetId="21">'Demand Projections RA'!#REF!</definedName>
    <definedName name="CM10_C_RIGHT___" localSheetId="4">#REF!</definedName>
    <definedName name="CM10_C_RIGHT___" localSheetId="5">#REF!</definedName>
    <definedName name="CM10_C_RIGHT___" localSheetId="9">#REF!</definedName>
    <definedName name="CM10_C_RIGHT___" localSheetId="3">'POA Data'!#REF!</definedName>
    <definedName name="CM10_C_RIGHT___">#REF!</definedName>
    <definedName name="CV" localSheetId="22">'Demand Projection Final'!#REF!</definedName>
    <definedName name="CV" localSheetId="20">#REF!</definedName>
    <definedName name="CV" localSheetId="21">'Demand Projections RA'!#REF!</definedName>
    <definedName name="CV" localSheetId="4">#REF!</definedName>
    <definedName name="CV" localSheetId="5">#REF!</definedName>
    <definedName name="CV" localSheetId="9">#REF!</definedName>
    <definedName name="CV" localSheetId="3">'POA Data'!#REF!</definedName>
    <definedName name="CV">#REF!</definedName>
    <definedName name="D">#N/A</definedName>
    <definedName name="Debt_Pct">[7]Assumptions!$B$13</definedName>
    <definedName name="dpc">'[8]dpc cost'!$D$1</definedName>
    <definedName name="E_315MVA_Addl_Page1" localSheetId="22">'Demand Projection Final'!#REF!</definedName>
    <definedName name="E_315MVA_Addl_Page1" localSheetId="20">#REF!</definedName>
    <definedName name="E_315MVA_Addl_Page1" localSheetId="21">'Demand Projections RA'!#REF!</definedName>
    <definedName name="E_315MVA_Addl_Page1" localSheetId="4">#REF!</definedName>
    <definedName name="E_315MVA_Addl_Page1" localSheetId="5">#REF!</definedName>
    <definedName name="E_315MVA_Addl_Page1" localSheetId="9">#REF!</definedName>
    <definedName name="E_315MVA_Addl_Page1" localSheetId="3">'POA Data'!#REF!</definedName>
    <definedName name="E_315MVA_Addl_Page1">#REF!</definedName>
    <definedName name="E_315MVA_Addl_Page2" localSheetId="22">'Demand Projection Final'!#REF!</definedName>
    <definedName name="E_315MVA_Addl_Page2" localSheetId="20">#REF!</definedName>
    <definedName name="E_315MVA_Addl_Page2" localSheetId="21">'Demand Projections RA'!#REF!</definedName>
    <definedName name="E_315MVA_Addl_Page2" localSheetId="4">#REF!</definedName>
    <definedName name="E_315MVA_Addl_Page2" localSheetId="5">#REF!</definedName>
    <definedName name="E_315MVA_Addl_Page2" localSheetId="9">#REF!</definedName>
    <definedName name="E_315MVA_Addl_Page2" localSheetId="3">'POA Data'!#REF!</definedName>
    <definedName name="E_315MVA_Addl_Page2">#REF!</definedName>
    <definedName name="Erai_level">[9]Level_qty!$B$8:$C$528</definedName>
    <definedName name="Esc_AGExp">[10]Assumptions!$B$4</definedName>
    <definedName name="Esc_Coal">[7]Assumptions!$B$6</definedName>
    <definedName name="Esc_DomGas">[7]Assumptions!$B$8</definedName>
    <definedName name="Esc_EmpExp">[7]Assumptions!$B$3</definedName>
    <definedName name="Esc_LNGas">[7]Assumptions!$B$9</definedName>
    <definedName name="Esc_Oil">[7]Assumptions!$B$7</definedName>
    <definedName name="Esc_OtherVarCharge">[7]Assumptions!$B$10</definedName>
    <definedName name="Esc_RMExp">[10]Assumptions!$B$5</definedName>
    <definedName name="EscAGExp" localSheetId="22">'Demand Projection Final'!#REF!</definedName>
    <definedName name="EscAGExp" localSheetId="20">#REF!</definedName>
    <definedName name="EscAGExp" localSheetId="21">'Demand Projections RA'!#REF!</definedName>
    <definedName name="EscAGExp" localSheetId="4">#REF!</definedName>
    <definedName name="EscAGExp" localSheetId="5">#REF!</definedName>
    <definedName name="EscAGExp" localSheetId="9">#REF!</definedName>
    <definedName name="EscAGExp" localSheetId="3">'POA Data'!#REF!</definedName>
    <definedName name="EscAGExp">#REF!</definedName>
    <definedName name="EscCoal" localSheetId="22">'Demand Projection Final'!#REF!</definedName>
    <definedName name="EscCoal" localSheetId="20">#REF!</definedName>
    <definedName name="EscCoal" localSheetId="21">'Demand Projections RA'!#REF!</definedName>
    <definedName name="EscCoal" localSheetId="4">#REF!</definedName>
    <definedName name="EscCoal" localSheetId="5">#REF!</definedName>
    <definedName name="EscCoal" localSheetId="9">#REF!</definedName>
    <definedName name="EscCoal" localSheetId="3">'POA Data'!#REF!</definedName>
    <definedName name="EscCoal">#REF!</definedName>
    <definedName name="EscDomGas" localSheetId="22">'Demand Projection Final'!#REF!</definedName>
    <definedName name="EscDomGas" localSheetId="20">#REF!</definedName>
    <definedName name="EscDomGas" localSheetId="21">'Demand Projections RA'!#REF!</definedName>
    <definedName name="EscDomGas" localSheetId="4">#REF!</definedName>
    <definedName name="EscDomGas" localSheetId="5">#REF!</definedName>
    <definedName name="EscDomGas" localSheetId="9">#REF!</definedName>
    <definedName name="EscDomGas" localSheetId="3">'POA Data'!#REF!</definedName>
    <definedName name="EscDomGas">#REF!</definedName>
    <definedName name="EscEmpExp" localSheetId="22">'Demand Projection Final'!#REF!</definedName>
    <definedName name="EscEmpExp" localSheetId="20">#REF!</definedName>
    <definedName name="EscEmpExp" localSheetId="21">'Demand Projections RA'!#REF!</definedName>
    <definedName name="EscEmpExp" localSheetId="4">#REF!</definedName>
    <definedName name="EscEmpExp" localSheetId="5">#REF!</definedName>
    <definedName name="EscEmpExp" localSheetId="9">#REF!</definedName>
    <definedName name="EscEmpExp" localSheetId="3">'POA Data'!#REF!</definedName>
    <definedName name="EscEmpExp">#REF!</definedName>
    <definedName name="EscLNGas" localSheetId="22">'Demand Projection Final'!#REF!</definedName>
    <definedName name="EscLNGas" localSheetId="20">#REF!</definedName>
    <definedName name="EscLNGas" localSheetId="21">'Demand Projections RA'!#REF!</definedName>
    <definedName name="EscLNGas" localSheetId="4">#REF!</definedName>
    <definedName name="EscLNGas" localSheetId="5">#REF!</definedName>
    <definedName name="EscLNGas" localSheetId="9">#REF!</definedName>
    <definedName name="EscLNGas" localSheetId="3">'POA Data'!#REF!</definedName>
    <definedName name="EscLNGas">#REF!</definedName>
    <definedName name="EscOil" localSheetId="22">'Demand Projection Final'!#REF!</definedName>
    <definedName name="EscOil" localSheetId="20">#REF!</definedName>
    <definedName name="EscOil" localSheetId="21">'Demand Projections RA'!#REF!</definedName>
    <definedName name="EscOil" localSheetId="4">#REF!</definedName>
    <definedName name="EscOil" localSheetId="5">#REF!</definedName>
    <definedName name="EscOil" localSheetId="9">#REF!</definedName>
    <definedName name="EscOil" localSheetId="3">'POA Data'!#REF!</definedName>
    <definedName name="EscOil">#REF!</definedName>
    <definedName name="EscOtherIncome" localSheetId="22">'Demand Projection Final'!#REF!</definedName>
    <definedName name="EscOtherIncome" localSheetId="20">#REF!</definedName>
    <definedName name="EscOtherIncome" localSheetId="21">'Demand Projections RA'!#REF!</definedName>
    <definedName name="EscOtherIncome" localSheetId="4">#REF!</definedName>
    <definedName name="EscOtherIncome" localSheetId="5">#REF!</definedName>
    <definedName name="EscOtherIncome" localSheetId="9">#REF!</definedName>
    <definedName name="EscOtherIncome" localSheetId="3">'POA Data'!#REF!</definedName>
    <definedName name="EscOtherIncome">#REF!</definedName>
    <definedName name="EscOtherVarCharge" localSheetId="22">'Demand Projection Final'!#REF!</definedName>
    <definedName name="EscOtherVarCharge" localSheetId="20">#REF!</definedName>
    <definedName name="EscOtherVarCharge" localSheetId="21">'Demand Projections RA'!#REF!</definedName>
    <definedName name="EscOtherVarCharge" localSheetId="4">#REF!</definedName>
    <definedName name="EscOtherVarCharge" localSheetId="5">#REF!</definedName>
    <definedName name="EscOtherVarCharge" localSheetId="9">#REF!</definedName>
    <definedName name="EscOtherVarCharge" localSheetId="3">'POA Data'!#REF!</definedName>
    <definedName name="EscOtherVarCharge">#REF!</definedName>
    <definedName name="EscRMExp" localSheetId="22">'Demand Projection Final'!#REF!</definedName>
    <definedName name="EscRMExp" localSheetId="20">#REF!</definedName>
    <definedName name="EscRMExp" localSheetId="21">'Demand Projections RA'!#REF!</definedName>
    <definedName name="EscRMExp" localSheetId="4">#REF!</definedName>
    <definedName name="EscRMExp" localSheetId="5">#REF!</definedName>
    <definedName name="EscRMExp" localSheetId="9">#REF!</definedName>
    <definedName name="EscRMExp" localSheetId="3">'POA Data'!#REF!</definedName>
    <definedName name="EscRMExp">#REF!</definedName>
    <definedName name="FAX" localSheetId="22">'Demand Projection Final'!#REF!</definedName>
    <definedName name="FAX" localSheetId="20">#REF!</definedName>
    <definedName name="FAX" localSheetId="21">'Demand Projections RA'!#REF!</definedName>
    <definedName name="FAX" localSheetId="4">#REF!</definedName>
    <definedName name="FAX" localSheetId="5">#REF!</definedName>
    <definedName name="FAX" localSheetId="9">#REF!</definedName>
    <definedName name="FAX" localSheetId="3">'POA Data'!#REF!</definedName>
    <definedName name="FAX">#REF!</definedName>
    <definedName name="FinCharge">[7]Assumptions!$B$25</definedName>
    <definedName name="Fuel_Exp_CY" localSheetId="22">'Demand Projection Final'!#REF!</definedName>
    <definedName name="Fuel_Exp_CY" localSheetId="20">#REF!</definedName>
    <definedName name="Fuel_Exp_CY" localSheetId="21">'Demand Projections RA'!#REF!</definedName>
    <definedName name="Fuel_Exp_CY" localSheetId="4">#REF!</definedName>
    <definedName name="Fuel_Exp_CY" localSheetId="5">#REF!</definedName>
    <definedName name="Fuel_Exp_CY" localSheetId="9">#REF!</definedName>
    <definedName name="Fuel_Exp_CY" localSheetId="3">'POA Data'!#REF!</definedName>
    <definedName name="Fuel_Exp_CY">#REF!</definedName>
    <definedName name="Fuel_Exp_EY" localSheetId="22">'Demand Projection Final'!#REF!</definedName>
    <definedName name="Fuel_Exp_EY" localSheetId="20">#REF!</definedName>
    <definedName name="Fuel_Exp_EY" localSheetId="21">'Demand Projections RA'!#REF!</definedName>
    <definedName name="Fuel_Exp_EY" localSheetId="4">#REF!</definedName>
    <definedName name="Fuel_Exp_EY" localSheetId="5">#REF!</definedName>
    <definedName name="Fuel_Exp_EY" localSheetId="9">#REF!</definedName>
    <definedName name="Fuel_Exp_EY" localSheetId="3">'POA Data'!#REF!</definedName>
    <definedName name="Fuel_Exp_EY">#REF!</definedName>
    <definedName name="Fuel_Exp_PY" localSheetId="22">'Demand Projection Final'!#REF!</definedName>
    <definedName name="Fuel_Exp_PY" localSheetId="20">#REF!</definedName>
    <definedName name="Fuel_Exp_PY" localSheetId="21">'Demand Projections RA'!#REF!</definedName>
    <definedName name="Fuel_Exp_PY" localSheetId="4">#REF!</definedName>
    <definedName name="Fuel_Exp_PY" localSheetId="5">#REF!</definedName>
    <definedName name="Fuel_Exp_PY" localSheetId="9">#REF!</definedName>
    <definedName name="Fuel_Exp_PY" localSheetId="3">'POA Data'!#REF!</definedName>
    <definedName name="Fuel_Exp_PY">#REF!</definedName>
    <definedName name="GR" localSheetId="22">'Demand Projection Final'!#REF!</definedName>
    <definedName name="GR" localSheetId="20">#REF!</definedName>
    <definedName name="GR" localSheetId="21">'Demand Projections RA'!#REF!</definedName>
    <definedName name="GR" localSheetId="4">#REF!</definedName>
    <definedName name="GR" localSheetId="5">#REF!</definedName>
    <definedName name="GR" localSheetId="9">#REF!</definedName>
    <definedName name="GR" localSheetId="3">'POA Data'!#REF!</definedName>
    <definedName name="GR">#REF!</definedName>
    <definedName name="IntRate_11">[7]Assumptions!$B$11</definedName>
    <definedName name="IntRate_12">[7]Assumptions!$B$12</definedName>
    <definedName name="IntRate_WC" localSheetId="22">[4]Assumptions!$B$16</definedName>
    <definedName name="IntRate_WC" localSheetId="20">[4]Assumptions!$B$16</definedName>
    <definedName name="IntRate_WC" localSheetId="21">[4]Assumptions!$B$16</definedName>
    <definedName name="IntRate_WC" localSheetId="3">[4]Assumptions!$B$16</definedName>
    <definedName name="IntRate_WC">[5]Assumptions!$B$16</definedName>
    <definedName name="IntRate_WC10">[7]Assumptions!$B$16</definedName>
    <definedName name="IntRate_WC11">[7]Assumptions!$B$17</definedName>
    <definedName name="IntRate_WC12">[7]Assumptions!$B$18</definedName>
    <definedName name="IntRate12" localSheetId="22">'Demand Projection Final'!#REF!</definedName>
    <definedName name="IntRate12" localSheetId="20">#REF!</definedName>
    <definedName name="IntRate12" localSheetId="21">'Demand Projections RA'!#REF!</definedName>
    <definedName name="IntRate12" localSheetId="4">#REF!</definedName>
    <definedName name="IntRate12" localSheetId="5">#REF!</definedName>
    <definedName name="IntRate12" localSheetId="9">#REF!</definedName>
    <definedName name="IntRate12" localSheetId="3">'POA Data'!#REF!</definedName>
    <definedName name="IntRate12">#REF!</definedName>
    <definedName name="IntRate13" localSheetId="22">'Demand Projection Final'!#REF!</definedName>
    <definedName name="IntRate13" localSheetId="20">#REF!</definedName>
    <definedName name="IntRate13" localSheetId="21">'Demand Projections RA'!#REF!</definedName>
    <definedName name="IntRate13" localSheetId="4">#REF!</definedName>
    <definedName name="IntRate13" localSheetId="5">#REF!</definedName>
    <definedName name="IntRate13" localSheetId="9">#REF!</definedName>
    <definedName name="IntRate13" localSheetId="3">'POA Data'!#REF!</definedName>
    <definedName name="IntRate13">#REF!</definedName>
    <definedName name="IntRateWC11" localSheetId="22">'Demand Projection Final'!#REF!</definedName>
    <definedName name="IntRateWC11" localSheetId="20">#REF!</definedName>
    <definedName name="IntRateWC11" localSheetId="21">'Demand Projections RA'!#REF!</definedName>
    <definedName name="IntRateWC11" localSheetId="4">#REF!</definedName>
    <definedName name="IntRateWC11" localSheetId="5">#REF!</definedName>
    <definedName name="IntRateWC11" localSheetId="9">#REF!</definedName>
    <definedName name="IntRateWC11" localSheetId="3">'POA Data'!#REF!</definedName>
    <definedName name="IntRateWC11">#REF!</definedName>
    <definedName name="IntRateWC12" localSheetId="22">'Demand Projection Final'!#REF!</definedName>
    <definedName name="IntRateWC12" localSheetId="20">#REF!</definedName>
    <definedName name="IntRateWC12" localSheetId="21">'Demand Projections RA'!#REF!</definedName>
    <definedName name="IntRateWC12" localSheetId="4">#REF!</definedName>
    <definedName name="IntRateWC12" localSheetId="5">#REF!</definedName>
    <definedName name="IntRateWC12" localSheetId="9">#REF!</definedName>
    <definedName name="IntRateWC12" localSheetId="3">'POA Data'!#REF!</definedName>
    <definedName name="IntRateWC12">#REF!</definedName>
    <definedName name="IntRateWC13" localSheetId="22">'Demand Projection Final'!#REF!</definedName>
    <definedName name="IntRateWC13" localSheetId="20">#REF!</definedName>
    <definedName name="IntRateWC13" localSheetId="21">'Demand Projections RA'!#REF!</definedName>
    <definedName name="IntRateWC13" localSheetId="4">#REF!</definedName>
    <definedName name="IntRateWC13" localSheetId="5">#REF!</definedName>
    <definedName name="IntRateWC13" localSheetId="9">#REF!</definedName>
    <definedName name="IntRateWC13" localSheetId="3">'POA Data'!#REF!</definedName>
    <definedName name="IntRateWC13">#REF!</definedName>
    <definedName name="Intt_Charge_cY" localSheetId="22">'Demand Projection Final'!#REF!,'Demand Projection Final'!#REF!</definedName>
    <definedName name="Intt_Charge_cY" localSheetId="20">#REF!,#REF!</definedName>
    <definedName name="Intt_Charge_cY" localSheetId="21">'Demand Projections RA'!#REF!,'Demand Projections RA'!#REF!</definedName>
    <definedName name="Intt_Charge_cY" localSheetId="4">#REF!,#REF!</definedName>
    <definedName name="Intt_Charge_cY" localSheetId="5">#REF!,#REF!</definedName>
    <definedName name="Intt_Charge_cY" localSheetId="9">#REF!,#REF!</definedName>
    <definedName name="Intt_Charge_cY" localSheetId="3">'POA Data'!#REF!,'POA Data'!#REF!</definedName>
    <definedName name="Intt_Charge_cY">#REF!,#REF!</definedName>
    <definedName name="Intt_Charge_cy_1" localSheetId="22">'[11]A 3.7'!$H$35,'[11]A 3.7'!$H$44</definedName>
    <definedName name="Intt_Charge_cy_1" localSheetId="20">'[11]A 3.7'!$H$35,'[11]A 3.7'!$H$44</definedName>
    <definedName name="Intt_Charge_cy_1" localSheetId="21">'[11]A 3.7'!$H$35,'[11]A 3.7'!$H$44</definedName>
    <definedName name="Intt_Charge_cy_1" localSheetId="3">'[11]A 3.7'!$H$35,'[11]A 3.7'!$H$44</definedName>
    <definedName name="Intt_Charge_cy_1">'[12]A 3.7'!$H$35,'[12]A 3.7'!$H$44</definedName>
    <definedName name="Intt_Charge_eY" localSheetId="22">'Demand Projection Final'!#REF!,'Demand Projection Final'!#REF!</definedName>
    <definedName name="Intt_Charge_eY" localSheetId="20">#REF!,#REF!</definedName>
    <definedName name="Intt_Charge_eY" localSheetId="21">'Demand Projections RA'!#REF!,'Demand Projections RA'!#REF!</definedName>
    <definedName name="Intt_Charge_eY" localSheetId="4">#REF!,#REF!</definedName>
    <definedName name="Intt_Charge_eY" localSheetId="5">#REF!,#REF!</definedName>
    <definedName name="Intt_Charge_eY" localSheetId="9">#REF!,#REF!</definedName>
    <definedName name="Intt_Charge_eY" localSheetId="3">'POA Data'!#REF!,'POA Data'!#REF!</definedName>
    <definedName name="Intt_Charge_eY">#REF!,#REF!</definedName>
    <definedName name="Intt_Charge_ey_1" localSheetId="22">'[11]A 3.7'!$I$35,'[11]A 3.7'!$I$44</definedName>
    <definedName name="Intt_Charge_ey_1" localSheetId="20">'[11]A 3.7'!$I$35,'[11]A 3.7'!$I$44</definedName>
    <definedName name="Intt_Charge_ey_1" localSheetId="21">'[11]A 3.7'!$I$35,'[11]A 3.7'!$I$44</definedName>
    <definedName name="Intt_Charge_ey_1" localSheetId="3">'[11]A 3.7'!$I$35,'[11]A 3.7'!$I$44</definedName>
    <definedName name="Intt_Charge_ey_1">'[12]A 3.7'!$I$35,'[12]A 3.7'!$I$44</definedName>
    <definedName name="Intt_Charge_PY" localSheetId="22">'Demand Projection Final'!#REF!,'Demand Projection Final'!#REF!</definedName>
    <definedName name="Intt_Charge_PY" localSheetId="20">#REF!,#REF!</definedName>
    <definedName name="Intt_Charge_PY" localSheetId="21">'Demand Projections RA'!#REF!,'Demand Projections RA'!#REF!</definedName>
    <definedName name="Intt_Charge_PY" localSheetId="4">#REF!,#REF!</definedName>
    <definedName name="Intt_Charge_PY" localSheetId="5">#REF!,#REF!</definedName>
    <definedName name="Intt_Charge_PY" localSheetId="9">#REF!,#REF!</definedName>
    <definedName name="Intt_Charge_PY" localSheetId="3">'POA Data'!#REF!,'POA Data'!#REF!</definedName>
    <definedName name="Intt_Charge_PY">#REF!,#REF!</definedName>
    <definedName name="Intt_Charge_py_1" localSheetId="22">'[11]A 3.7'!$G$35,'[11]A 3.7'!$G$44</definedName>
    <definedName name="Intt_Charge_py_1" localSheetId="20">'[11]A 3.7'!$G$35,'[11]A 3.7'!$G$44</definedName>
    <definedName name="Intt_Charge_py_1" localSheetId="21">'[11]A 3.7'!$G$35,'[11]A 3.7'!$G$44</definedName>
    <definedName name="Intt_Charge_py_1" localSheetId="3">'[11]A 3.7'!$G$35,'[11]A 3.7'!$G$44</definedName>
    <definedName name="Intt_Charge_py_1">'[12]A 3.7'!$G$35,'[12]A 3.7'!$G$44</definedName>
    <definedName name="IsCircular" localSheetId="22">'Demand Projection Final'!#REF!</definedName>
    <definedName name="IsCircular" localSheetId="20">#REF!</definedName>
    <definedName name="IsCircular" localSheetId="21">'Demand Projections RA'!#REF!</definedName>
    <definedName name="IsCircular" localSheetId="4">#REF!</definedName>
    <definedName name="IsCircular" localSheetId="5">#REF!</definedName>
    <definedName name="IsCircular" localSheetId="9">#REF!</definedName>
    <definedName name="IsCircular" localSheetId="3">'POA Data'!#REF!</definedName>
    <definedName name="IsCircular">#REF!</definedName>
    <definedName name="K2000_">#N/A</definedName>
    <definedName name="LTR_M_NEW" localSheetId="22">'Demand Projection Final'!#REF!</definedName>
    <definedName name="LTR_M_NEW" localSheetId="20">#REF!</definedName>
    <definedName name="LTR_M_NEW" localSheetId="21">'Demand Projections RA'!#REF!</definedName>
    <definedName name="LTR_M_NEW" localSheetId="4">#REF!</definedName>
    <definedName name="LTR_M_NEW" localSheetId="5">#REF!</definedName>
    <definedName name="LTR_M_NEW" localSheetId="9">#REF!</definedName>
    <definedName name="LTR_M_NEW" localSheetId="3">'POA Data'!#REF!</definedName>
    <definedName name="LTR_M_NEW">#REF!</definedName>
    <definedName name="LTR_MOR" localSheetId="22">'Demand Projection Final'!#REF!</definedName>
    <definedName name="LTR_MOR" localSheetId="20">#REF!</definedName>
    <definedName name="LTR_MOR" localSheetId="21">'Demand Projections RA'!#REF!</definedName>
    <definedName name="LTR_MOR" localSheetId="4">#REF!</definedName>
    <definedName name="LTR_MOR" localSheetId="5">#REF!</definedName>
    <definedName name="LTR_MOR" localSheetId="9">#REF!</definedName>
    <definedName name="LTR_MOR" localSheetId="3">'POA Data'!#REF!</definedName>
    <definedName name="LTR_MOR">#REF!</definedName>
    <definedName name="new" localSheetId="4" hidden="1">[13]CE!#REF!</definedName>
    <definedName name="new" localSheetId="5" hidden="1">[13]CE!#REF!</definedName>
    <definedName name="new" localSheetId="9" hidden="1">[13]CE!#REF!</definedName>
    <definedName name="new" localSheetId="3" hidden="1">[13]CE!#REF!</definedName>
    <definedName name="new" hidden="1">[13]CE!#REF!</definedName>
    <definedName name="O" localSheetId="22">'Demand Projection Final'!#REF!</definedName>
    <definedName name="O" localSheetId="20">#REF!</definedName>
    <definedName name="O" localSheetId="21">'Demand Projections RA'!#REF!</definedName>
    <definedName name="O" localSheetId="4">#REF!</definedName>
    <definedName name="O" localSheetId="5">#REF!</definedName>
    <definedName name="O" localSheetId="9">#REF!</definedName>
    <definedName name="O" localSheetId="3">'POA Data'!#REF!</definedName>
    <definedName name="O">#REF!</definedName>
    <definedName name="p" localSheetId="22">'Demand Projection Final'!#REF!</definedName>
    <definedName name="p" localSheetId="20">#REF!</definedName>
    <definedName name="p" localSheetId="21">'Demand Projections RA'!#REF!</definedName>
    <definedName name="p" localSheetId="4">#REF!</definedName>
    <definedName name="p" localSheetId="5">#REF!</definedName>
    <definedName name="p" localSheetId="9">#REF!</definedName>
    <definedName name="p" localSheetId="3">'POA Data'!#REF!</definedName>
    <definedName name="p">#REF!</definedName>
    <definedName name="PAGE1" localSheetId="22">'Demand Projection Final'!#REF!</definedName>
    <definedName name="PAGE1" localSheetId="20">#REF!</definedName>
    <definedName name="PAGE1" localSheetId="21">'Demand Projections RA'!#REF!</definedName>
    <definedName name="PAGE1" localSheetId="4">#REF!</definedName>
    <definedName name="PAGE1" localSheetId="5">#REF!</definedName>
    <definedName name="PAGE1" localSheetId="9">#REF!</definedName>
    <definedName name="PAGE1" localSheetId="3">'POA Data'!#REF!</definedName>
    <definedName name="PAGE1">#REF!</definedName>
    <definedName name="page10" localSheetId="22">'Demand Projection Final'!#REF!</definedName>
    <definedName name="page10" localSheetId="20">#REF!</definedName>
    <definedName name="page10" localSheetId="21">'Demand Projections RA'!#REF!</definedName>
    <definedName name="page10" localSheetId="4">#REF!</definedName>
    <definedName name="page10" localSheetId="5">#REF!</definedName>
    <definedName name="page10" localSheetId="9">#REF!</definedName>
    <definedName name="page10" localSheetId="3">'POA Data'!#REF!</definedName>
    <definedName name="page10">#REF!</definedName>
    <definedName name="PAGE10_6" localSheetId="22">'Demand Projection Final'!#REF!</definedName>
    <definedName name="PAGE10_6" localSheetId="20">#REF!</definedName>
    <definedName name="PAGE10_6" localSheetId="21">'Demand Projections RA'!#REF!</definedName>
    <definedName name="PAGE10_6" localSheetId="4">#REF!</definedName>
    <definedName name="PAGE10_6" localSheetId="5">#REF!</definedName>
    <definedName name="PAGE10_6" localSheetId="9">#REF!</definedName>
    <definedName name="PAGE10_6" localSheetId="3">'POA Data'!#REF!</definedName>
    <definedName name="PAGE10_6">#REF!</definedName>
    <definedName name="PAGE11_6" localSheetId="22">'Demand Projection Final'!#REF!</definedName>
    <definedName name="PAGE11_6" localSheetId="20">#REF!</definedName>
    <definedName name="PAGE11_6" localSheetId="21">'Demand Projections RA'!#REF!</definedName>
    <definedName name="PAGE11_6" localSheetId="4">#REF!</definedName>
    <definedName name="PAGE11_6" localSheetId="5">#REF!</definedName>
    <definedName name="PAGE11_6" localSheetId="9">#REF!</definedName>
    <definedName name="PAGE11_6" localSheetId="3">'POA Data'!#REF!</definedName>
    <definedName name="PAGE11_6">#REF!</definedName>
    <definedName name="PAGE12_6" localSheetId="22">'Demand Projection Final'!#REF!</definedName>
    <definedName name="PAGE12_6" localSheetId="20">#REF!</definedName>
    <definedName name="PAGE12_6" localSheetId="21">'Demand Projections RA'!#REF!</definedName>
    <definedName name="PAGE12_6" localSheetId="4">#REF!</definedName>
    <definedName name="PAGE12_6" localSheetId="5">#REF!</definedName>
    <definedName name="PAGE12_6" localSheetId="9">#REF!</definedName>
    <definedName name="PAGE12_6" localSheetId="3">'POA Data'!#REF!</definedName>
    <definedName name="PAGE12_6">#REF!</definedName>
    <definedName name="PAGE14" localSheetId="22">'Demand Projection Final'!#REF!</definedName>
    <definedName name="PAGE14" localSheetId="20">#REF!</definedName>
    <definedName name="PAGE14" localSheetId="21">'Demand Projections RA'!#REF!</definedName>
    <definedName name="PAGE14" localSheetId="4">#REF!</definedName>
    <definedName name="PAGE14" localSheetId="5">#REF!</definedName>
    <definedName name="PAGE14" localSheetId="9">#REF!</definedName>
    <definedName name="PAGE14" localSheetId="3">'POA Data'!#REF!</definedName>
    <definedName name="PAGE14">#REF!</definedName>
    <definedName name="PAGE15" localSheetId="22">'Demand Projection Final'!#REF!</definedName>
    <definedName name="PAGE15" localSheetId="20">#REF!</definedName>
    <definedName name="PAGE15" localSheetId="21">'Demand Projections RA'!#REF!</definedName>
    <definedName name="PAGE15" localSheetId="4">#REF!</definedName>
    <definedName name="PAGE15" localSheetId="5">#REF!</definedName>
    <definedName name="PAGE15" localSheetId="9">#REF!</definedName>
    <definedName name="PAGE15" localSheetId="3">'POA Data'!#REF!</definedName>
    <definedName name="PAGE15">#REF!</definedName>
    <definedName name="PAGE16" localSheetId="22">'Demand Projection Final'!#REF!</definedName>
    <definedName name="PAGE16" localSheetId="20">#REF!</definedName>
    <definedName name="PAGE16" localSheetId="21">'Demand Projections RA'!#REF!</definedName>
    <definedName name="PAGE16" localSheetId="4">#REF!</definedName>
    <definedName name="PAGE16" localSheetId="5">#REF!</definedName>
    <definedName name="PAGE16" localSheetId="9">#REF!</definedName>
    <definedName name="PAGE16" localSheetId="3">'POA Data'!#REF!</definedName>
    <definedName name="PAGE16">#REF!</definedName>
    <definedName name="PAGE17" localSheetId="22">'Demand Projection Final'!#REF!</definedName>
    <definedName name="PAGE17" localSheetId="20">#REF!</definedName>
    <definedName name="PAGE17" localSheetId="21">'Demand Projections RA'!#REF!</definedName>
    <definedName name="PAGE17" localSheetId="4">#REF!</definedName>
    <definedName name="PAGE17" localSheetId="5">#REF!</definedName>
    <definedName name="PAGE17" localSheetId="9">#REF!</definedName>
    <definedName name="PAGE17" localSheetId="3">'POA Data'!#REF!</definedName>
    <definedName name="PAGE17">#REF!</definedName>
    <definedName name="PAGE18" localSheetId="22">'Demand Projection Final'!#REF!</definedName>
    <definedName name="PAGE18" localSheetId="20">#REF!</definedName>
    <definedName name="PAGE18" localSheetId="21">'Demand Projections RA'!#REF!</definedName>
    <definedName name="PAGE18" localSheetId="4">#REF!</definedName>
    <definedName name="PAGE18" localSheetId="5">#REF!</definedName>
    <definedName name="PAGE18" localSheetId="9">#REF!</definedName>
    <definedName name="PAGE18" localSheetId="3">'POA Data'!#REF!</definedName>
    <definedName name="PAGE18">#REF!</definedName>
    <definedName name="PAGE19" localSheetId="22">'Demand Projection Final'!#REF!</definedName>
    <definedName name="PAGE19" localSheetId="20">#REF!</definedName>
    <definedName name="PAGE19" localSheetId="21">'Demand Projections RA'!#REF!</definedName>
    <definedName name="PAGE19" localSheetId="4">#REF!</definedName>
    <definedName name="PAGE19" localSheetId="5">#REF!</definedName>
    <definedName name="PAGE19" localSheetId="9">#REF!</definedName>
    <definedName name="PAGE19" localSheetId="3">'POA Data'!#REF!</definedName>
    <definedName name="PAGE19">#REF!</definedName>
    <definedName name="PAGE2" localSheetId="22">'Demand Projection Final'!#REF!</definedName>
    <definedName name="PAGE2" localSheetId="20">#REF!</definedName>
    <definedName name="PAGE2" localSheetId="21">'Demand Projections RA'!#REF!</definedName>
    <definedName name="PAGE2" localSheetId="4">#REF!</definedName>
    <definedName name="PAGE2" localSheetId="5">#REF!</definedName>
    <definedName name="PAGE2" localSheetId="9">#REF!</definedName>
    <definedName name="PAGE2" localSheetId="3">'POA Data'!#REF!</definedName>
    <definedName name="PAGE2">#REF!</definedName>
    <definedName name="PAGE2_6" localSheetId="22">'Demand Projection Final'!#REF!</definedName>
    <definedName name="PAGE2_6" localSheetId="20">#REF!</definedName>
    <definedName name="PAGE2_6" localSheetId="21">'Demand Projections RA'!#REF!</definedName>
    <definedName name="PAGE2_6" localSheetId="4">#REF!</definedName>
    <definedName name="PAGE2_6" localSheetId="5">#REF!</definedName>
    <definedName name="PAGE2_6" localSheetId="9">#REF!</definedName>
    <definedName name="PAGE2_6" localSheetId="3">'POA Data'!#REF!</definedName>
    <definedName name="PAGE2_6">#REF!</definedName>
    <definedName name="PAGE20" localSheetId="22">'Demand Projection Final'!#REF!</definedName>
    <definedName name="PAGE20" localSheetId="20">#REF!</definedName>
    <definedName name="PAGE20" localSheetId="21">'Demand Projections RA'!#REF!</definedName>
    <definedName name="PAGE20" localSheetId="4">#REF!</definedName>
    <definedName name="PAGE20" localSheetId="5">#REF!</definedName>
    <definedName name="PAGE20" localSheetId="9">#REF!</definedName>
    <definedName name="PAGE20" localSheetId="3">'POA Data'!#REF!</definedName>
    <definedName name="PAGE20">#REF!</definedName>
    <definedName name="PAGE21" localSheetId="22">'Demand Projection Final'!#REF!</definedName>
    <definedName name="PAGE21" localSheetId="20">#REF!</definedName>
    <definedName name="PAGE21" localSheetId="21">'Demand Projections RA'!#REF!</definedName>
    <definedName name="PAGE21" localSheetId="4">#REF!</definedName>
    <definedName name="PAGE21" localSheetId="5">#REF!</definedName>
    <definedName name="PAGE21" localSheetId="9">#REF!</definedName>
    <definedName name="PAGE21" localSheetId="3">'POA Data'!#REF!</definedName>
    <definedName name="PAGE21">#REF!</definedName>
    <definedName name="PAGE210" localSheetId="22">'Demand Projection Final'!#REF!</definedName>
    <definedName name="PAGE210" localSheetId="20">#REF!</definedName>
    <definedName name="PAGE210" localSheetId="21">'Demand Projections RA'!#REF!</definedName>
    <definedName name="PAGE210" localSheetId="4">#REF!</definedName>
    <definedName name="PAGE210" localSheetId="5">#REF!</definedName>
    <definedName name="PAGE210" localSheetId="9">#REF!</definedName>
    <definedName name="PAGE210" localSheetId="3">'POA Data'!#REF!</definedName>
    <definedName name="PAGE210">#REF!</definedName>
    <definedName name="PAGE22" localSheetId="22">'Demand Projection Final'!#REF!</definedName>
    <definedName name="PAGE22" localSheetId="20">#REF!</definedName>
    <definedName name="PAGE22" localSheetId="21">'Demand Projections RA'!#REF!</definedName>
    <definedName name="PAGE22" localSheetId="4">#REF!</definedName>
    <definedName name="PAGE22" localSheetId="5">#REF!</definedName>
    <definedName name="PAGE22" localSheetId="9">#REF!</definedName>
    <definedName name="PAGE22" localSheetId="3">'POA Data'!#REF!</definedName>
    <definedName name="PAGE22">#REF!</definedName>
    <definedName name="PAGE23" localSheetId="22">'Demand Projection Final'!#REF!</definedName>
    <definedName name="PAGE23" localSheetId="20">#REF!</definedName>
    <definedName name="PAGE23" localSheetId="21">'Demand Projections RA'!#REF!</definedName>
    <definedName name="PAGE23" localSheetId="4">#REF!</definedName>
    <definedName name="PAGE23" localSheetId="5">#REF!</definedName>
    <definedName name="PAGE23" localSheetId="9">#REF!</definedName>
    <definedName name="PAGE23" localSheetId="3">'POA Data'!#REF!</definedName>
    <definedName name="PAGE23">#REF!</definedName>
    <definedName name="PAGE24" localSheetId="22">'Demand Projection Final'!#REF!</definedName>
    <definedName name="PAGE24" localSheetId="20">#REF!</definedName>
    <definedName name="PAGE24" localSheetId="21">'Demand Projections RA'!#REF!</definedName>
    <definedName name="PAGE24" localSheetId="4">#REF!</definedName>
    <definedName name="PAGE24" localSheetId="5">#REF!</definedName>
    <definedName name="PAGE24" localSheetId="9">#REF!</definedName>
    <definedName name="PAGE24" localSheetId="3">'POA Data'!#REF!</definedName>
    <definedName name="PAGE24">#REF!</definedName>
    <definedName name="PAGE25" localSheetId="22">'Demand Projection Final'!#REF!</definedName>
    <definedName name="PAGE25" localSheetId="20">#REF!</definedName>
    <definedName name="PAGE25" localSheetId="21">'Demand Projections RA'!#REF!</definedName>
    <definedName name="PAGE25" localSheetId="4">#REF!</definedName>
    <definedName name="PAGE25" localSheetId="5">#REF!</definedName>
    <definedName name="PAGE25" localSheetId="9">#REF!</definedName>
    <definedName name="PAGE25" localSheetId="3">'POA Data'!#REF!</definedName>
    <definedName name="PAGE25">#REF!</definedName>
    <definedName name="PAGE26" localSheetId="22">'Demand Projection Final'!#REF!</definedName>
    <definedName name="PAGE26" localSheetId="20">#REF!</definedName>
    <definedName name="PAGE26" localSheetId="21">'Demand Projections RA'!#REF!</definedName>
    <definedName name="PAGE26" localSheetId="4">#REF!</definedName>
    <definedName name="PAGE26" localSheetId="5">#REF!</definedName>
    <definedName name="PAGE26" localSheetId="9">#REF!</definedName>
    <definedName name="PAGE26" localSheetId="3">'POA Data'!#REF!</definedName>
    <definedName name="PAGE26">#REF!</definedName>
    <definedName name="PAGE27" localSheetId="22">'Demand Projection Final'!#REF!</definedName>
    <definedName name="PAGE27" localSheetId="20">#REF!</definedName>
    <definedName name="PAGE27" localSheetId="21">'Demand Projections RA'!#REF!</definedName>
    <definedName name="PAGE27" localSheetId="4">#REF!</definedName>
    <definedName name="PAGE27" localSheetId="5">#REF!</definedName>
    <definedName name="PAGE27" localSheetId="9">#REF!</definedName>
    <definedName name="PAGE27" localSheetId="3">'POA Data'!#REF!</definedName>
    <definedName name="PAGE27">#REF!</definedName>
    <definedName name="PAGE28" localSheetId="22">'Demand Projection Final'!#REF!</definedName>
    <definedName name="PAGE28" localSheetId="20">#REF!</definedName>
    <definedName name="PAGE28" localSheetId="21">'Demand Projections RA'!#REF!</definedName>
    <definedName name="PAGE28" localSheetId="4">#REF!</definedName>
    <definedName name="PAGE28" localSheetId="5">#REF!</definedName>
    <definedName name="PAGE28" localSheetId="9">#REF!</definedName>
    <definedName name="PAGE28" localSheetId="3">'POA Data'!#REF!</definedName>
    <definedName name="PAGE28">#REF!</definedName>
    <definedName name="PAGE29" localSheetId="22">'Demand Projection Final'!#REF!</definedName>
    <definedName name="PAGE29" localSheetId="20">#REF!</definedName>
    <definedName name="PAGE29" localSheetId="21">'Demand Projections RA'!#REF!</definedName>
    <definedName name="PAGE29" localSheetId="4">#REF!</definedName>
    <definedName name="PAGE29" localSheetId="5">#REF!</definedName>
    <definedName name="PAGE29" localSheetId="9">#REF!</definedName>
    <definedName name="PAGE29" localSheetId="3">'POA Data'!#REF!</definedName>
    <definedName name="PAGE29">#REF!</definedName>
    <definedName name="PAGE3_6" localSheetId="22">'Demand Projection Final'!#REF!</definedName>
    <definedName name="PAGE3_6" localSheetId="20">#REF!</definedName>
    <definedName name="PAGE3_6" localSheetId="21">'Demand Projections RA'!#REF!</definedName>
    <definedName name="PAGE3_6" localSheetId="4">#REF!</definedName>
    <definedName name="PAGE3_6" localSheetId="5">#REF!</definedName>
    <definedName name="PAGE3_6" localSheetId="9">#REF!</definedName>
    <definedName name="PAGE3_6" localSheetId="3">'POA Data'!#REF!</definedName>
    <definedName name="PAGE3_6">#REF!</definedName>
    <definedName name="page34" localSheetId="22">'Demand Projection Final'!#REF!</definedName>
    <definedName name="page34" localSheetId="20">#REF!</definedName>
    <definedName name="page34" localSheetId="21">'Demand Projections RA'!#REF!</definedName>
    <definedName name="page34" localSheetId="4">#REF!</definedName>
    <definedName name="page34" localSheetId="5">#REF!</definedName>
    <definedName name="page34" localSheetId="9">#REF!</definedName>
    <definedName name="page34" localSheetId="3">'POA Data'!#REF!</definedName>
    <definedName name="page34">#REF!</definedName>
    <definedName name="Page35" localSheetId="22">'Demand Projection Final'!#REF!</definedName>
    <definedName name="Page35" localSheetId="20">#REF!</definedName>
    <definedName name="Page35" localSheetId="21">'Demand Projections RA'!#REF!</definedName>
    <definedName name="Page35" localSheetId="4">#REF!</definedName>
    <definedName name="Page35" localSheetId="5">#REF!</definedName>
    <definedName name="Page35" localSheetId="9">#REF!</definedName>
    <definedName name="Page35" localSheetId="3">'POA Data'!#REF!</definedName>
    <definedName name="Page35">#REF!</definedName>
    <definedName name="PAGE4_6" localSheetId="22">'Demand Projection Final'!#REF!</definedName>
    <definedName name="PAGE4_6" localSheetId="20">#REF!</definedName>
    <definedName name="PAGE4_6" localSheetId="21">'Demand Projections RA'!#REF!</definedName>
    <definedName name="PAGE4_6" localSheetId="4">#REF!</definedName>
    <definedName name="PAGE4_6" localSheetId="5">#REF!</definedName>
    <definedName name="PAGE4_6" localSheetId="9">#REF!</definedName>
    <definedName name="PAGE4_6" localSheetId="3">'POA Data'!#REF!</definedName>
    <definedName name="PAGE4_6">#REF!</definedName>
    <definedName name="PAGE5_6" localSheetId="22">'Demand Projection Final'!#REF!</definedName>
    <definedName name="PAGE5_6" localSheetId="20">#REF!</definedName>
    <definedName name="PAGE5_6" localSheetId="21">'Demand Projections RA'!#REF!</definedName>
    <definedName name="PAGE5_6" localSheetId="4">#REF!</definedName>
    <definedName name="PAGE5_6" localSheetId="5">#REF!</definedName>
    <definedName name="PAGE5_6" localSheetId="9">#REF!</definedName>
    <definedName name="PAGE5_6" localSheetId="3">'POA Data'!#REF!</definedName>
    <definedName name="PAGE5_6">#REF!</definedName>
    <definedName name="page50" localSheetId="22">'Demand Projection Final'!#REF!</definedName>
    <definedName name="page50" localSheetId="20">#REF!</definedName>
    <definedName name="page50" localSheetId="21">'Demand Projections RA'!#REF!</definedName>
    <definedName name="page50" localSheetId="4">#REF!</definedName>
    <definedName name="page50" localSheetId="5">#REF!</definedName>
    <definedName name="page50" localSheetId="9">#REF!</definedName>
    <definedName name="page50" localSheetId="3">'POA Data'!#REF!</definedName>
    <definedName name="page50">#REF!</definedName>
    <definedName name="page51" localSheetId="22">'Demand Projection Final'!#REF!</definedName>
    <definedName name="page51" localSheetId="20">#REF!</definedName>
    <definedName name="page51" localSheetId="21">'Demand Projections RA'!#REF!</definedName>
    <definedName name="page51" localSheetId="4">#REF!</definedName>
    <definedName name="page51" localSheetId="5">#REF!</definedName>
    <definedName name="page51" localSheetId="9">#REF!</definedName>
    <definedName name="page51" localSheetId="3">'POA Data'!#REF!</definedName>
    <definedName name="page51">#REF!</definedName>
    <definedName name="page52" localSheetId="22">'Demand Projection Final'!#REF!</definedName>
    <definedName name="page52" localSheetId="20">#REF!</definedName>
    <definedName name="page52" localSheetId="21">'Demand Projections RA'!#REF!</definedName>
    <definedName name="page52" localSheetId="4">#REF!</definedName>
    <definedName name="page52" localSheetId="5">#REF!</definedName>
    <definedName name="page52" localSheetId="9">#REF!</definedName>
    <definedName name="page52" localSheetId="3">'POA Data'!#REF!</definedName>
    <definedName name="page52">#REF!</definedName>
    <definedName name="PAGE6" localSheetId="22">'Demand Projection Final'!#REF!</definedName>
    <definedName name="PAGE6" localSheetId="20">#REF!</definedName>
    <definedName name="PAGE6" localSheetId="21">'Demand Projections RA'!#REF!</definedName>
    <definedName name="PAGE6" localSheetId="4">#REF!</definedName>
    <definedName name="PAGE6" localSheetId="5">#REF!</definedName>
    <definedName name="PAGE6" localSheetId="9">#REF!</definedName>
    <definedName name="PAGE6" localSheetId="3">'POA Data'!#REF!</definedName>
    <definedName name="PAGE6">#REF!</definedName>
    <definedName name="PAGE6_6" localSheetId="22">'Demand Projection Final'!#REF!</definedName>
    <definedName name="PAGE6_6" localSheetId="20">#REF!</definedName>
    <definedName name="PAGE6_6" localSheetId="21">'Demand Projections RA'!#REF!</definedName>
    <definedName name="PAGE6_6" localSheetId="4">#REF!</definedName>
    <definedName name="PAGE6_6" localSheetId="5">#REF!</definedName>
    <definedName name="PAGE6_6" localSheetId="9">#REF!</definedName>
    <definedName name="PAGE6_6" localSheetId="3">'POA Data'!#REF!</definedName>
    <definedName name="PAGE6_6">#REF!</definedName>
    <definedName name="PAGE7" localSheetId="22">'Demand Projection Final'!#REF!</definedName>
    <definedName name="PAGE7" localSheetId="20">#REF!</definedName>
    <definedName name="PAGE7" localSheetId="21">'Demand Projections RA'!#REF!</definedName>
    <definedName name="PAGE7" localSheetId="4">#REF!</definedName>
    <definedName name="PAGE7" localSheetId="5">#REF!</definedName>
    <definedName name="PAGE7" localSheetId="9">#REF!</definedName>
    <definedName name="PAGE7" localSheetId="3">'POA Data'!#REF!</definedName>
    <definedName name="PAGE7">#REF!</definedName>
    <definedName name="PAGE7_6" localSheetId="22">'Demand Projection Final'!#REF!</definedName>
    <definedName name="PAGE7_6" localSheetId="20">#REF!</definedName>
    <definedName name="PAGE7_6" localSheetId="21">'Demand Projections RA'!#REF!</definedName>
    <definedName name="PAGE7_6" localSheetId="4">#REF!</definedName>
    <definedName name="PAGE7_6" localSheetId="5">#REF!</definedName>
    <definedName name="PAGE7_6" localSheetId="9">#REF!</definedName>
    <definedName name="PAGE7_6" localSheetId="3">'POA Data'!#REF!</definedName>
    <definedName name="PAGE7_6">#REF!</definedName>
    <definedName name="PAGE8" localSheetId="22">'Demand Projection Final'!#REF!</definedName>
    <definedName name="PAGE8" localSheetId="20">#REF!</definedName>
    <definedName name="PAGE8" localSheetId="21">'Demand Projections RA'!#REF!</definedName>
    <definedName name="PAGE8" localSheetId="4">#REF!</definedName>
    <definedName name="PAGE8" localSheetId="5">#REF!</definedName>
    <definedName name="PAGE8" localSheetId="9">#REF!</definedName>
    <definedName name="PAGE8" localSheetId="3">'POA Data'!#REF!</definedName>
    <definedName name="PAGE8">#REF!</definedName>
    <definedName name="PAGE8_6U1A" localSheetId="22">'Demand Projection Final'!#REF!</definedName>
    <definedName name="PAGE8_6U1A" localSheetId="20">#REF!</definedName>
    <definedName name="PAGE8_6U1A" localSheetId="21">'Demand Projections RA'!#REF!</definedName>
    <definedName name="PAGE8_6U1A" localSheetId="4">#REF!</definedName>
    <definedName name="PAGE8_6U1A" localSheetId="5">#REF!</definedName>
    <definedName name="PAGE8_6U1A" localSheetId="9">#REF!</definedName>
    <definedName name="PAGE8_6U1A" localSheetId="3">'POA Data'!#REF!</definedName>
    <definedName name="PAGE8_6U1A">#REF!</definedName>
    <definedName name="PAGE8_6U1B" localSheetId="22">'Demand Projection Final'!#REF!</definedName>
    <definedName name="PAGE8_6U1B" localSheetId="20">#REF!</definedName>
    <definedName name="PAGE8_6U1B" localSheetId="21">'Demand Projections RA'!#REF!</definedName>
    <definedName name="PAGE8_6U1B" localSheetId="4">#REF!</definedName>
    <definedName name="PAGE8_6U1B" localSheetId="5">#REF!</definedName>
    <definedName name="PAGE8_6U1B" localSheetId="9">#REF!</definedName>
    <definedName name="PAGE8_6U1B" localSheetId="3">'POA Data'!#REF!</definedName>
    <definedName name="PAGE8_6U1B">#REF!</definedName>
    <definedName name="PAGE8_6U2A" localSheetId="22">'Demand Projection Final'!#REF!</definedName>
    <definedName name="PAGE8_6U2A" localSheetId="20">#REF!</definedName>
    <definedName name="PAGE8_6U2A" localSheetId="21">'Demand Projections RA'!#REF!</definedName>
    <definedName name="PAGE8_6U2A" localSheetId="4">#REF!</definedName>
    <definedName name="PAGE8_6U2A" localSheetId="5">#REF!</definedName>
    <definedName name="PAGE8_6U2A" localSheetId="9">#REF!</definedName>
    <definedName name="PAGE8_6U2A" localSheetId="3">'POA Data'!#REF!</definedName>
    <definedName name="PAGE8_6U2A">#REF!</definedName>
    <definedName name="PAGE8_6U2B" localSheetId="22">'Demand Projection Final'!#REF!</definedName>
    <definedName name="PAGE8_6U2B" localSheetId="20">#REF!</definedName>
    <definedName name="PAGE8_6U2B" localSheetId="21">'Demand Projections RA'!#REF!</definedName>
    <definedName name="PAGE8_6U2B" localSheetId="4">#REF!</definedName>
    <definedName name="PAGE8_6U2B" localSheetId="5">#REF!</definedName>
    <definedName name="PAGE8_6U2B" localSheetId="9">#REF!</definedName>
    <definedName name="PAGE8_6U2B" localSheetId="3">'POA Data'!#REF!</definedName>
    <definedName name="PAGE8_6U2B">#REF!</definedName>
    <definedName name="PAGE8_6U3A" localSheetId="22">'Demand Projection Final'!#REF!</definedName>
    <definedName name="PAGE8_6U3A" localSheetId="20">#REF!</definedName>
    <definedName name="PAGE8_6U3A" localSheetId="21">'Demand Projections RA'!#REF!</definedName>
    <definedName name="PAGE8_6U3A" localSheetId="4">#REF!</definedName>
    <definedName name="PAGE8_6U3A" localSheetId="5">#REF!</definedName>
    <definedName name="PAGE8_6U3A" localSheetId="9">#REF!</definedName>
    <definedName name="PAGE8_6U3A" localSheetId="3">'POA Data'!#REF!</definedName>
    <definedName name="PAGE8_6U3A">#REF!</definedName>
    <definedName name="PAGE8_6U3B" localSheetId="22">'Demand Projection Final'!#REF!</definedName>
    <definedName name="PAGE8_6U3B" localSheetId="20">#REF!</definedName>
    <definedName name="PAGE8_6U3B" localSheetId="21">'Demand Projections RA'!#REF!</definedName>
    <definedName name="PAGE8_6U3B" localSheetId="4">#REF!</definedName>
    <definedName name="PAGE8_6U3B" localSheetId="5">#REF!</definedName>
    <definedName name="PAGE8_6U3B" localSheetId="9">#REF!</definedName>
    <definedName name="PAGE8_6U3B" localSheetId="3">'POA Data'!#REF!</definedName>
    <definedName name="PAGE8_6U3B">#REF!</definedName>
    <definedName name="PAGE9" localSheetId="22">'Demand Projection Final'!#REF!</definedName>
    <definedName name="PAGE9" localSheetId="20">#REF!</definedName>
    <definedName name="PAGE9" localSheetId="21">'Demand Projections RA'!#REF!</definedName>
    <definedName name="PAGE9" localSheetId="4">#REF!</definedName>
    <definedName name="PAGE9" localSheetId="5">#REF!</definedName>
    <definedName name="PAGE9" localSheetId="9">#REF!</definedName>
    <definedName name="PAGE9" localSheetId="3">'POA Data'!#REF!</definedName>
    <definedName name="PAGE9">#REF!</definedName>
    <definedName name="PAGE9_6" localSheetId="22">'Demand Projection Final'!#REF!</definedName>
    <definedName name="PAGE9_6" localSheetId="20">#REF!</definedName>
    <definedName name="PAGE9_6" localSheetId="21">'Demand Projections RA'!#REF!</definedName>
    <definedName name="PAGE9_6" localSheetId="4">#REF!</definedName>
    <definedName name="PAGE9_6" localSheetId="5">#REF!</definedName>
    <definedName name="PAGE9_6" localSheetId="9">#REF!</definedName>
    <definedName name="PAGE9_6" localSheetId="3">'POA Data'!#REF!</definedName>
    <definedName name="PAGE9_6">#REF!</definedName>
    <definedName name="Pop_Ratio" localSheetId="22">'Demand Projection Final'!#REF!</definedName>
    <definedName name="Pop_Ratio" localSheetId="20">#REF!</definedName>
    <definedName name="Pop_Ratio" localSheetId="21">'Demand Projections RA'!#REF!</definedName>
    <definedName name="Pop_Ratio" localSheetId="4">#REF!</definedName>
    <definedName name="Pop_Ratio" localSheetId="5">#REF!</definedName>
    <definedName name="Pop_Ratio" localSheetId="9">#REF!</definedName>
    <definedName name="Pop_Ratio" localSheetId="3">'POA Data'!#REF!</definedName>
    <definedName name="Pop_Ratio">#REF!</definedName>
    <definedName name="PRF_1" localSheetId="22">'Demand Projection Final'!#REF!</definedName>
    <definedName name="PRF_1" localSheetId="20">#REF!</definedName>
    <definedName name="PRF_1" localSheetId="21">'Demand Projections RA'!#REF!</definedName>
    <definedName name="PRF_1" localSheetId="4">#REF!</definedName>
    <definedName name="PRF_1" localSheetId="5">#REF!</definedName>
    <definedName name="PRF_1" localSheetId="9">#REF!</definedName>
    <definedName name="PRF_1" localSheetId="3">'POA Data'!#REF!</definedName>
    <definedName name="PRF_1">#REF!</definedName>
    <definedName name="PRF_2_P1" localSheetId="22">'Demand Projection Final'!#REF!</definedName>
    <definedName name="PRF_2_P1" localSheetId="20">#REF!</definedName>
    <definedName name="PRF_2_P1" localSheetId="21">'Demand Projections RA'!#REF!</definedName>
    <definedName name="PRF_2_P1" localSheetId="4">#REF!</definedName>
    <definedName name="PRF_2_P1" localSheetId="5">#REF!</definedName>
    <definedName name="PRF_2_P1" localSheetId="9">#REF!</definedName>
    <definedName name="PRF_2_P1" localSheetId="3">'POA Data'!#REF!</definedName>
    <definedName name="PRF_2_P1">#REF!</definedName>
    <definedName name="PRF_2_P2" localSheetId="22">'Demand Projection Final'!#REF!</definedName>
    <definedName name="PRF_2_P2" localSheetId="20">#REF!</definedName>
    <definedName name="PRF_2_P2" localSheetId="21">'Demand Projections RA'!#REF!</definedName>
    <definedName name="PRF_2_P2" localSheetId="4">#REF!</definedName>
    <definedName name="PRF_2_P2" localSheetId="5">#REF!</definedName>
    <definedName name="PRF_2_P2" localSheetId="9">#REF!</definedName>
    <definedName name="PRF_2_P2" localSheetId="3">'POA Data'!#REF!</definedName>
    <definedName name="PRF_2_P2">#REF!</definedName>
    <definedName name="PRF_3_AN1" localSheetId="22">'Demand Projection Final'!#REF!</definedName>
    <definedName name="PRF_3_AN1" localSheetId="20">#REF!</definedName>
    <definedName name="PRF_3_AN1" localSheetId="21">'Demand Projections RA'!#REF!</definedName>
    <definedName name="PRF_3_AN1" localSheetId="4">#REF!</definedName>
    <definedName name="PRF_3_AN1" localSheetId="5">#REF!</definedName>
    <definedName name="PRF_3_AN1" localSheetId="9">#REF!</definedName>
    <definedName name="PRF_3_AN1" localSheetId="3">'POA Data'!#REF!</definedName>
    <definedName name="PRF_3_AN1">#REF!</definedName>
    <definedName name="PRF_3_AN2" localSheetId="22">'Demand Projection Final'!#REF!</definedName>
    <definedName name="PRF_3_AN2" localSheetId="20">#REF!</definedName>
    <definedName name="PRF_3_AN2" localSheetId="21">'Demand Projections RA'!#REF!</definedName>
    <definedName name="PRF_3_AN2" localSheetId="4">#REF!</definedName>
    <definedName name="PRF_3_AN2" localSheetId="5">#REF!</definedName>
    <definedName name="PRF_3_AN2" localSheetId="9">#REF!</definedName>
    <definedName name="PRF_3_AN2" localSheetId="3">'POA Data'!#REF!</definedName>
    <definedName name="PRF_3_AN2">#REF!</definedName>
    <definedName name="PRF_3_AN3" localSheetId="22">'Demand Projection Final'!#REF!</definedName>
    <definedName name="PRF_3_AN3" localSheetId="20">#REF!</definedName>
    <definedName name="PRF_3_AN3" localSheetId="21">'Demand Projections RA'!#REF!</definedName>
    <definedName name="PRF_3_AN3" localSheetId="4">#REF!</definedName>
    <definedName name="PRF_3_AN3" localSheetId="5">#REF!</definedName>
    <definedName name="PRF_3_AN3" localSheetId="9">#REF!</definedName>
    <definedName name="PRF_3_AN3" localSheetId="3">'POA Data'!#REF!</definedName>
    <definedName name="PRF_3_AN3">#REF!</definedName>
    <definedName name="_xlnm.Print_Area" localSheetId="22">'Demand Projection Final'!#REF!</definedName>
    <definedName name="_xlnm.Print_Area" localSheetId="20">#REF!</definedName>
    <definedName name="_xlnm.Print_Area" localSheetId="21">'Demand Projections RA'!#REF!</definedName>
    <definedName name="_xlnm.Print_Area" localSheetId="1">'F1 '!$A$1:$L$51</definedName>
    <definedName name="_xlnm.Print_Area" localSheetId="2">'F2'!$A$1:$Q$182</definedName>
    <definedName name="_xlnm.Print_Area" localSheetId="4">'F3 A'!$A$1:$R$53</definedName>
    <definedName name="_xlnm.Print_Area" localSheetId="5">F3B!$A$1:$R$55</definedName>
    <definedName name="_xlnm.Print_Area" localSheetId="6">'F4'!$A$1:$K$15</definedName>
    <definedName name="_xlnm.Print_Area" localSheetId="7">'F5'!$A$1:$T$54</definedName>
    <definedName name="_xlnm.Print_Area" localSheetId="8">'F6'!$A$1:$O$57</definedName>
    <definedName name="_xlnm.Print_Area" localSheetId="9">'F7'!$A$1:$Q$22</definedName>
    <definedName name="_xlnm.Print_Area" localSheetId="0">Index!$B$1:$D$16</definedName>
    <definedName name="_xlnm.Print_Area" localSheetId="3">'POA Data'!#REF!</definedName>
    <definedName name="_xlnm.Print_Area">#REF!</definedName>
    <definedName name="PRINT_AREA_MI" localSheetId="22">'Demand Projection Final'!#REF!</definedName>
    <definedName name="PRINT_AREA_MI" localSheetId="20">#REF!</definedName>
    <definedName name="PRINT_AREA_MI" localSheetId="21">'Demand Projections RA'!#REF!</definedName>
    <definedName name="PRINT_AREA_MI" localSheetId="4">#REF!</definedName>
    <definedName name="PRINT_AREA_MI" localSheetId="5">#REF!</definedName>
    <definedName name="PRINT_AREA_MI" localSheetId="9">#REF!</definedName>
    <definedName name="PRINT_AREA_MI" localSheetId="3">'POA Data'!#REF!</definedName>
    <definedName name="PRINT_AREA_MI">#REF!</definedName>
    <definedName name="q" localSheetId="22">'[14]A 3.7'!$I$35,'[14]A 3.7'!$I$44</definedName>
    <definedName name="q" localSheetId="20">'[14]A 3.7'!$I$35,'[14]A 3.7'!$I$44</definedName>
    <definedName name="q" localSheetId="21">'[14]A 3.7'!$I$35,'[14]A 3.7'!$I$44</definedName>
    <definedName name="q" localSheetId="3">'[14]A 3.7'!$I$35,'[14]A 3.7'!$I$44</definedName>
    <definedName name="q">'[15]A 3.7'!$I$35,'[15]A 3.7'!$I$44</definedName>
    <definedName name="S" localSheetId="22">'Demand Projection Final'!#REF!</definedName>
    <definedName name="S" localSheetId="20">#REF!</definedName>
    <definedName name="S" localSheetId="21">'Demand Projections RA'!#REF!</definedName>
    <definedName name="S" localSheetId="4">#REF!</definedName>
    <definedName name="S" localSheetId="5">#REF!</definedName>
    <definedName name="S" localSheetId="9">#REF!</definedName>
    <definedName name="S" localSheetId="3">'POA Data'!#REF!</definedName>
    <definedName name="S">#REF!</definedName>
    <definedName name="SECOAL" localSheetId="22">'Demand Projection Final'!#REF!</definedName>
    <definedName name="SECOAL" localSheetId="20">#REF!</definedName>
    <definedName name="SECOAL" localSheetId="21">'Demand Projections RA'!#REF!</definedName>
    <definedName name="SECOAL" localSheetId="4">#REF!</definedName>
    <definedName name="SECOAL" localSheetId="5">#REF!</definedName>
    <definedName name="SECOAL" localSheetId="9">#REF!</definedName>
    <definedName name="SECOAL" localSheetId="3">'POA Data'!#REF!</definedName>
    <definedName name="SECOAL">#REF!</definedName>
    <definedName name="SEOREP" localSheetId="22">'Demand Projection Final'!#REF!</definedName>
    <definedName name="SEOREP" localSheetId="20">#REF!</definedName>
    <definedName name="SEOREP" localSheetId="21">'Demand Projections RA'!#REF!</definedName>
    <definedName name="SEOREP" localSheetId="4">#REF!</definedName>
    <definedName name="SEOREP" localSheetId="5">#REF!</definedName>
    <definedName name="SEOREP" localSheetId="9">#REF!</definedName>
    <definedName name="SEOREP" localSheetId="3">'POA Data'!#REF!</definedName>
    <definedName name="SEOREP">#REF!</definedName>
    <definedName name="SEREPORT" localSheetId="22">'Demand Projection Final'!#REF!</definedName>
    <definedName name="SEREPORT" localSheetId="20">#REF!</definedName>
    <definedName name="SEREPORT" localSheetId="21">'Demand Projections RA'!#REF!</definedName>
    <definedName name="SEREPORT" localSheetId="4">#REF!</definedName>
    <definedName name="SEREPORT" localSheetId="5">#REF!</definedName>
    <definedName name="SEREPORT" localSheetId="9">#REF!</definedName>
    <definedName name="SEREPORT" localSheetId="3">'POA Data'!#REF!</definedName>
    <definedName name="SEREPORT">#REF!</definedName>
    <definedName name="shft1">[8]SUMMERY!$P$1</definedName>
    <definedName name="shftI" localSheetId="22">[16]SUMMERY!$P$1</definedName>
    <definedName name="shftI" localSheetId="20">[16]SUMMERY!$P$1</definedName>
    <definedName name="shftI" localSheetId="21">[16]SUMMERY!$P$1</definedName>
    <definedName name="shftI" localSheetId="3">[16]SUMMERY!$P$1</definedName>
    <definedName name="shftI">[17]SUMMERY!$P$1</definedName>
    <definedName name="t" localSheetId="22">'Demand Projection Final'!#REF!</definedName>
    <definedName name="t" localSheetId="20">#REF!</definedName>
    <definedName name="t" localSheetId="21">'Demand Projections RA'!#REF!</definedName>
    <definedName name="t" localSheetId="4">#REF!</definedName>
    <definedName name="t" localSheetId="5">#REF!</definedName>
    <definedName name="t" localSheetId="9">#REF!</definedName>
    <definedName name="t" localSheetId="3">'POA Data'!#REF!</definedName>
    <definedName name="t">#REF!</definedName>
    <definedName name="TaxPaid10">[7]Assumptions!$B$22</definedName>
    <definedName name="TaxRate11">[7]Assumptions!$B$20</definedName>
    <definedName name="Taxrate12" localSheetId="22">'Demand Projection Final'!#REF!</definedName>
    <definedName name="Taxrate12" localSheetId="20">#REF!</definedName>
    <definedName name="Taxrate12" localSheetId="21">'Demand Projections RA'!#REF!</definedName>
    <definedName name="Taxrate12" localSheetId="4">#REF!</definedName>
    <definedName name="Taxrate12" localSheetId="5">#REF!</definedName>
    <definedName name="Taxrate12" localSheetId="9">#REF!</definedName>
    <definedName name="Taxrate12" localSheetId="3">'POA Data'!#REF!</definedName>
    <definedName name="Taxrate12">#REF!</definedName>
    <definedName name="TotalRoE10">[7]Assumptions!$B$23</definedName>
    <definedName name="tripping" localSheetId="22">'Demand Projection Final'!#REF!</definedName>
    <definedName name="tripping" localSheetId="20">#REF!</definedName>
    <definedName name="tripping" localSheetId="21">'Demand Projections RA'!#REF!</definedName>
    <definedName name="tripping" localSheetId="4">#REF!</definedName>
    <definedName name="tripping" localSheetId="5">#REF!</definedName>
    <definedName name="tripping" localSheetId="9">#REF!</definedName>
    <definedName name="tripping" localSheetId="3">'POA Data'!#REF!</definedName>
    <definedName name="tripping">#REF!</definedName>
    <definedName name="uNIT1" localSheetId="22">'Demand Projection Final'!#REF!</definedName>
    <definedName name="uNIT1" localSheetId="20">#REF!</definedName>
    <definedName name="uNIT1" localSheetId="21">'Demand Projections RA'!#REF!</definedName>
    <definedName name="uNIT1" localSheetId="4">#REF!</definedName>
    <definedName name="uNIT1" localSheetId="5">#REF!</definedName>
    <definedName name="uNIT1" localSheetId="9">#REF!</definedName>
    <definedName name="uNIT1" localSheetId="3">'POA Data'!#REF!</definedName>
    <definedName name="uNIT1">#REF!</definedName>
    <definedName name="uNIT2" localSheetId="22">'Demand Projection Final'!#REF!</definedName>
    <definedName name="uNIT2" localSheetId="20">#REF!</definedName>
    <definedName name="uNIT2" localSheetId="21">'Demand Projections RA'!#REF!</definedName>
    <definedName name="uNIT2" localSheetId="4">#REF!</definedName>
    <definedName name="uNIT2" localSheetId="5">#REF!</definedName>
    <definedName name="uNIT2" localSheetId="9">#REF!</definedName>
    <definedName name="uNIT2" localSheetId="3">'POA Data'!#REF!</definedName>
    <definedName name="uNIT2">#REF!</definedName>
    <definedName name="uNIT3" localSheetId="22">'Demand Projection Final'!#REF!</definedName>
    <definedName name="uNIT3" localSheetId="20">#REF!</definedName>
    <definedName name="uNIT3" localSheetId="21">'Demand Projections RA'!#REF!</definedName>
    <definedName name="uNIT3" localSheetId="4">#REF!</definedName>
    <definedName name="uNIT3" localSheetId="5">#REF!</definedName>
    <definedName name="uNIT3" localSheetId="9">#REF!</definedName>
    <definedName name="uNIT3" localSheetId="3">'POA Data'!#REF!</definedName>
    <definedName name="uNIT3">#REF!</definedName>
    <definedName name="W" localSheetId="22">'Demand Projection Final'!#REF!</definedName>
    <definedName name="W" localSheetId="20">#REF!</definedName>
    <definedName name="W" localSheetId="21">'Demand Projections RA'!#REF!</definedName>
    <definedName name="W" localSheetId="4">#REF!</definedName>
    <definedName name="W" localSheetId="5">#REF!</definedName>
    <definedName name="W" localSheetId="9">#REF!</definedName>
    <definedName name="W" localSheetId="3">'POA Data'!#REF!</definedName>
    <definedName name="W">#REF!</definedName>
    <definedName name="WEEK_1A" localSheetId="22">'Demand Projection Final'!#REF!</definedName>
    <definedName name="WEEK_1A" localSheetId="20">#REF!</definedName>
    <definedName name="WEEK_1A" localSheetId="21">'Demand Projections RA'!#REF!</definedName>
    <definedName name="WEEK_1A" localSheetId="4">#REF!</definedName>
    <definedName name="WEEK_1A" localSheetId="5">#REF!</definedName>
    <definedName name="WEEK_1A" localSheetId="9">#REF!</definedName>
    <definedName name="WEEK_1A" localSheetId="3">'POA Data'!#REF!</definedName>
    <definedName name="WEEK_1A">#REF!</definedName>
    <definedName name="WEEK_1B" localSheetId="22">'Demand Projection Final'!#REF!</definedName>
    <definedName name="WEEK_1B" localSheetId="20">#REF!</definedName>
    <definedName name="WEEK_1B" localSheetId="21">'Demand Projections RA'!#REF!</definedName>
    <definedName name="WEEK_1B" localSheetId="4">#REF!</definedName>
    <definedName name="WEEK_1B" localSheetId="5">#REF!</definedName>
    <definedName name="WEEK_1B" localSheetId="9">#REF!</definedName>
    <definedName name="WEEK_1B" localSheetId="3">'POA Data'!#REF!</definedName>
    <definedName name="WEEK_1B">#REF!</definedName>
    <definedName name="WEEK_2A" localSheetId="22">'Demand Projection Final'!#REF!</definedName>
    <definedName name="WEEK_2A" localSheetId="20">#REF!</definedName>
    <definedName name="WEEK_2A" localSheetId="21">'Demand Projections RA'!#REF!</definedName>
    <definedName name="WEEK_2A" localSheetId="4">#REF!</definedName>
    <definedName name="WEEK_2A" localSheetId="5">#REF!</definedName>
    <definedName name="WEEK_2A" localSheetId="9">#REF!</definedName>
    <definedName name="WEEK_2A" localSheetId="3">'POA Data'!#REF!</definedName>
    <definedName name="WEEK_2A">#REF!</definedName>
    <definedName name="WEEK_2B" localSheetId="22">'Demand Projection Final'!#REF!</definedName>
    <definedName name="WEEK_2B" localSheetId="20">#REF!</definedName>
    <definedName name="WEEK_2B" localSheetId="21">'Demand Projections RA'!#REF!</definedName>
    <definedName name="WEEK_2B" localSheetId="4">#REF!</definedName>
    <definedName name="WEEK_2B" localSheetId="5">#REF!</definedName>
    <definedName name="WEEK_2B" localSheetId="9">#REF!</definedName>
    <definedName name="WEEK_2B" localSheetId="3">'POA Data'!#REF!</definedName>
    <definedName name="WEEK_2B">#REF!</definedName>
    <definedName name="Working_capital_Rate_of_Interest_for_FY_10_11" localSheetId="22">[4]Assumption_PwC!$C$116</definedName>
    <definedName name="Working_capital_Rate_of_Interest_for_FY_10_11" localSheetId="20">[4]Assumption_PwC!$C$116</definedName>
    <definedName name="Working_capital_Rate_of_Interest_for_FY_10_11" localSheetId="21">[4]Assumption_PwC!$C$116</definedName>
    <definedName name="Working_capital_Rate_of_Interest_for_FY_10_11" localSheetId="3">[4]Assumption_PwC!$C$116</definedName>
    <definedName name="Working_capital_Rate_of_Interest_for_FY_10_11">[5]Assumption_PwC!$C$116</definedName>
    <definedName name="X1_" localSheetId="22">'Demand Projection Final'!#REF!</definedName>
    <definedName name="X1_" localSheetId="20">#REF!</definedName>
    <definedName name="X1_" localSheetId="21">'Demand Projections RA'!#REF!</definedName>
    <definedName name="X1_" localSheetId="4">#REF!</definedName>
    <definedName name="X1_" localSheetId="5">#REF!</definedName>
    <definedName name="X1_" localSheetId="9">#REF!</definedName>
    <definedName name="X1_" localSheetId="3">'POA Data'!#REF!</definedName>
    <definedName name="X1_">#REF!</definedName>
    <definedName name="X11__?___QUIT_" localSheetId="22">'Demand Projection Final'!#REF!</definedName>
    <definedName name="X11__?___QUIT_" localSheetId="20">#REF!</definedName>
    <definedName name="X11__?___QUIT_" localSheetId="21">'Demand Projections RA'!#REF!</definedName>
    <definedName name="X11__?___QUIT_" localSheetId="4">#REF!</definedName>
    <definedName name="X11__?___QUIT_" localSheetId="5">#REF!</definedName>
    <definedName name="X11__?___QUIT_" localSheetId="9">#REF!</definedName>
    <definedName name="X11__?___QUIT_" localSheetId="3">'POA Data'!#REF!</definedName>
    <definedName name="X11__?___QUIT_">#REF!</definedName>
    <definedName name="xxxx" localSheetId="4" hidden="1">[18]CE!#REF!</definedName>
    <definedName name="xxxx" localSheetId="5" hidden="1">[18]CE!#REF!</definedName>
    <definedName name="xxxx" localSheetId="9" hidden="1">[18]CE!#REF!</definedName>
    <definedName name="xxxx" localSheetId="3" hidden="1">[18]CE!#REF!</definedName>
    <definedName name="xxxx" hidden="1">[18]CE!#REF!</definedName>
    <definedName name="YEAR" localSheetId="22">'Demand Projection Final'!#REF!</definedName>
    <definedName name="YEAR" localSheetId="20">#REF!</definedName>
    <definedName name="YEAR" localSheetId="21">'Demand Projections RA'!#REF!</definedName>
    <definedName name="YEAR" localSheetId="4">#REF!</definedName>
    <definedName name="YEAR" localSheetId="5">#REF!</definedName>
    <definedName name="YEAR" localSheetId="9">#REF!</definedName>
    <definedName name="YEAR" localSheetId="3">'POA Data'!#REF!</definedName>
    <definedName name="YEAR">#REF!</definedName>
    <definedName name="Year1" localSheetId="22">'Demand Projection Final'!#REF!</definedName>
    <definedName name="Year1" localSheetId="20">#REF!</definedName>
    <definedName name="Year1" localSheetId="21">'Demand Projections RA'!#REF!</definedName>
    <definedName name="Year1" localSheetId="4">#REF!</definedName>
    <definedName name="Year1" localSheetId="5">#REF!</definedName>
    <definedName name="Year1" localSheetId="9">#REF!</definedName>
    <definedName name="Year1" localSheetId="3">'POA Data'!#REF!</definedName>
    <definedName name="Year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04" l="1"/>
  <c r="J40" i="104"/>
  <c r="J39" i="104"/>
  <c r="J38" i="104"/>
  <c r="J37" i="104"/>
  <c r="J36" i="104"/>
  <c r="J35" i="104"/>
  <c r="J34" i="104"/>
  <c r="J33" i="104"/>
  <c r="J32" i="104"/>
  <c r="J31" i="104"/>
  <c r="J30" i="104"/>
  <c r="J29" i="104"/>
  <c r="J28" i="104"/>
  <c r="H37" i="104"/>
  <c r="H36" i="104"/>
  <c r="H35" i="104"/>
  <c r="H34" i="104"/>
  <c r="H33" i="104"/>
  <c r="H32" i="104"/>
  <c r="H31" i="104"/>
  <c r="H30" i="104"/>
  <c r="H29" i="104"/>
  <c r="H28" i="104"/>
  <c r="AQ24" i="105"/>
  <c r="H25" i="100"/>
  <c r="A44" i="99"/>
  <c r="A43" i="99"/>
  <c r="A42" i="99"/>
  <c r="A41" i="99"/>
  <c r="A40" i="99"/>
  <c r="A39" i="99"/>
  <c r="A38" i="99"/>
  <c r="A36" i="99"/>
  <c r="A35" i="99"/>
  <c r="A34" i="99"/>
  <c r="A33" i="99"/>
  <c r="A32" i="99"/>
  <c r="A31" i="99"/>
  <c r="A30" i="99"/>
  <c r="A29" i="99"/>
  <c r="A28" i="99"/>
  <c r="A19" i="99"/>
  <c r="A18" i="99"/>
  <c r="A17" i="99"/>
  <c r="A16" i="99"/>
  <c r="A15" i="99"/>
  <c r="A14" i="99"/>
  <c r="A13" i="99"/>
  <c r="A12" i="99"/>
  <c r="A11" i="99"/>
  <c r="A9" i="99"/>
  <c r="A7" i="99"/>
  <c r="A6" i="99"/>
  <c r="A5" i="99"/>
  <c r="A4" i="99"/>
  <c r="A3" i="99"/>
  <c r="I19" i="99" l="1"/>
  <c r="H19" i="99"/>
  <c r="G19" i="99"/>
  <c r="F19" i="99"/>
  <c r="I18" i="99"/>
  <c r="H18" i="99"/>
  <c r="G18" i="99"/>
  <c r="F18" i="99"/>
  <c r="E19" i="99"/>
  <c r="E18" i="99"/>
  <c r="I16" i="99"/>
  <c r="H16" i="99"/>
  <c r="G16" i="99"/>
  <c r="F16" i="99"/>
  <c r="E16" i="99"/>
  <c r="I15" i="99"/>
  <c r="H15" i="99"/>
  <c r="G15" i="99"/>
  <c r="F15" i="99"/>
  <c r="E15" i="99"/>
  <c r="I14" i="99"/>
  <c r="H14" i="99"/>
  <c r="G14" i="99"/>
  <c r="F14" i="99"/>
  <c r="I13" i="99"/>
  <c r="H13" i="99"/>
  <c r="G13" i="99"/>
  <c r="F13" i="99"/>
  <c r="E14" i="99"/>
  <c r="E13" i="99"/>
  <c r="I9" i="99"/>
  <c r="H9" i="99"/>
  <c r="G9" i="99"/>
  <c r="F9" i="99"/>
  <c r="E9" i="99"/>
  <c r="I7" i="99"/>
  <c r="H7" i="99"/>
  <c r="G7" i="99"/>
  <c r="F7" i="99"/>
  <c r="E7" i="99"/>
  <c r="I6" i="99"/>
  <c r="H6" i="99"/>
  <c r="G6" i="99"/>
  <c r="F6" i="99"/>
  <c r="E6" i="99"/>
  <c r="I5" i="99"/>
  <c r="H5" i="99"/>
  <c r="G5" i="99"/>
  <c r="F5" i="99"/>
  <c r="E5" i="99"/>
  <c r="I4" i="99"/>
  <c r="H4" i="99"/>
  <c r="G4" i="99"/>
  <c r="F4" i="99"/>
  <c r="E4" i="99"/>
  <c r="I21" i="99" l="1"/>
  <c r="H21" i="99"/>
  <c r="G21" i="99"/>
  <c r="F21" i="99"/>
  <c r="E21" i="99"/>
  <c r="I44" i="99"/>
  <c r="H44" i="99"/>
  <c r="G44" i="99"/>
  <c r="F44" i="99"/>
  <c r="E44" i="99"/>
  <c r="I43" i="99"/>
  <c r="H43" i="99"/>
  <c r="G43" i="99"/>
  <c r="F43" i="99"/>
  <c r="E43" i="99"/>
  <c r="I42" i="99"/>
  <c r="H42" i="99"/>
  <c r="G42" i="99"/>
  <c r="F42" i="99"/>
  <c r="E42" i="99"/>
  <c r="I41" i="99"/>
  <c r="H41" i="99"/>
  <c r="G41" i="99"/>
  <c r="F41" i="99"/>
  <c r="E41" i="99"/>
  <c r="I40" i="99"/>
  <c r="H40" i="99"/>
  <c r="G40" i="99"/>
  <c r="F40" i="99"/>
  <c r="E40" i="99"/>
  <c r="I39" i="99"/>
  <c r="H39" i="99"/>
  <c r="G39" i="99"/>
  <c r="F39" i="99"/>
  <c r="E39" i="99"/>
  <c r="I38" i="99"/>
  <c r="H38" i="99"/>
  <c r="G38" i="99"/>
  <c r="F38" i="99"/>
  <c r="E38" i="99"/>
  <c r="I37" i="99"/>
  <c r="H37" i="99"/>
  <c r="G37" i="99"/>
  <c r="F37" i="99"/>
  <c r="E37" i="99"/>
  <c r="I35" i="99"/>
  <c r="H35" i="99"/>
  <c r="G35" i="99"/>
  <c r="F35" i="99"/>
  <c r="E35" i="99"/>
  <c r="I34" i="99"/>
  <c r="H34" i="99"/>
  <c r="G34" i="99"/>
  <c r="F34" i="99"/>
  <c r="E34" i="99"/>
  <c r="I33" i="99"/>
  <c r="H33" i="99"/>
  <c r="G33" i="99"/>
  <c r="F33" i="99"/>
  <c r="E33" i="99"/>
  <c r="I32" i="99"/>
  <c r="H32" i="99"/>
  <c r="G32" i="99"/>
  <c r="F32" i="99"/>
  <c r="E32" i="99"/>
  <c r="I31" i="99"/>
  <c r="H31" i="99"/>
  <c r="G31" i="99"/>
  <c r="F31" i="99"/>
  <c r="E31" i="99"/>
  <c r="I30" i="99"/>
  <c r="H30" i="99"/>
  <c r="G30" i="99"/>
  <c r="F30" i="99"/>
  <c r="E30" i="99"/>
  <c r="I29" i="99"/>
  <c r="H29" i="99"/>
  <c r="G29" i="99"/>
  <c r="F29" i="99"/>
  <c r="E29" i="99"/>
  <c r="I28" i="99"/>
  <c r="H28" i="99"/>
  <c r="G28" i="99"/>
  <c r="F28" i="99"/>
  <c r="E28" i="99"/>
  <c r="E50" i="99" l="1"/>
  <c r="K70" i="104" l="1"/>
  <c r="K84" i="104" s="1"/>
  <c r="G83" i="104"/>
  <c r="G82" i="104"/>
  <c r="G81" i="104"/>
  <c r="G80" i="104"/>
  <c r="G79" i="104"/>
  <c r="G78" i="104"/>
  <c r="G77" i="104"/>
  <c r="G76" i="104"/>
  <c r="G75" i="104"/>
  <c r="G74" i="104"/>
  <c r="G73" i="104"/>
  <c r="G72" i="104"/>
  <c r="G71" i="104"/>
  <c r="G70" i="104"/>
  <c r="F83" i="104"/>
  <c r="F82" i="104"/>
  <c r="F81" i="104"/>
  <c r="F80" i="104"/>
  <c r="F79" i="104"/>
  <c r="F78" i="104"/>
  <c r="F77" i="104"/>
  <c r="F76" i="104"/>
  <c r="F75" i="104"/>
  <c r="F74" i="104"/>
  <c r="F73" i="104"/>
  <c r="F72" i="104"/>
  <c r="F71" i="104"/>
  <c r="F70" i="104"/>
  <c r="E83" i="104"/>
  <c r="E82" i="104"/>
  <c r="E81" i="104"/>
  <c r="E80" i="104"/>
  <c r="E79" i="104"/>
  <c r="E78" i="104"/>
  <c r="E77" i="104"/>
  <c r="E76" i="104"/>
  <c r="E75" i="104"/>
  <c r="E74" i="104"/>
  <c r="E73" i="104"/>
  <c r="E72" i="104"/>
  <c r="E71" i="104"/>
  <c r="E70" i="104"/>
  <c r="D84" i="104"/>
  <c r="D62" i="104"/>
  <c r="D61" i="104"/>
  <c r="D60" i="104"/>
  <c r="D59" i="104"/>
  <c r="D58" i="104"/>
  <c r="D57" i="104"/>
  <c r="D56" i="104"/>
  <c r="D55" i="104"/>
  <c r="D54" i="104"/>
  <c r="D53" i="104"/>
  <c r="D52" i="104"/>
  <c r="D51" i="104"/>
  <c r="D50" i="104"/>
  <c r="D49" i="104"/>
  <c r="K49" i="104"/>
  <c r="K63" i="104" s="1"/>
  <c r="H62" i="104"/>
  <c r="L62" i="104" s="1"/>
  <c r="H61" i="104"/>
  <c r="L61" i="104" s="1"/>
  <c r="H60" i="104"/>
  <c r="L60" i="104" s="1"/>
  <c r="H59" i="104"/>
  <c r="L59" i="104" s="1"/>
  <c r="G62" i="104"/>
  <c r="G61" i="104"/>
  <c r="G60" i="104"/>
  <c r="G59" i="104"/>
  <c r="G58" i="104"/>
  <c r="G57" i="104"/>
  <c r="G56" i="104"/>
  <c r="G55" i="104"/>
  <c r="G54" i="104"/>
  <c r="G53" i="104"/>
  <c r="G52" i="104"/>
  <c r="G51" i="104"/>
  <c r="G50" i="104"/>
  <c r="G49" i="104"/>
  <c r="E62" i="104"/>
  <c r="E61" i="104"/>
  <c r="E60" i="104"/>
  <c r="E59" i="104"/>
  <c r="E58" i="104"/>
  <c r="E57" i="104"/>
  <c r="E56" i="104"/>
  <c r="E55" i="104"/>
  <c r="E54" i="104"/>
  <c r="E53" i="104"/>
  <c r="E52" i="104"/>
  <c r="E51" i="104"/>
  <c r="E50" i="104"/>
  <c r="E49" i="104"/>
  <c r="D23" i="93"/>
  <c r="K28" i="104"/>
  <c r="K42" i="104" s="1"/>
  <c r="L41" i="104"/>
  <c r="L40" i="104"/>
  <c r="L39" i="104"/>
  <c r="L38" i="104"/>
  <c r="L37" i="104"/>
  <c r="L36" i="104"/>
  <c r="L35" i="104"/>
  <c r="L34" i="104"/>
  <c r="L33" i="104"/>
  <c r="L32" i="104"/>
  <c r="L31" i="104"/>
  <c r="L30" i="104"/>
  <c r="L29" i="104"/>
  <c r="G41" i="104"/>
  <c r="G40" i="104"/>
  <c r="G39" i="104"/>
  <c r="G38" i="104"/>
  <c r="G37" i="104"/>
  <c r="G36" i="104"/>
  <c r="G35" i="104"/>
  <c r="G34" i="104"/>
  <c r="G33" i="104"/>
  <c r="G32" i="104"/>
  <c r="G31" i="104"/>
  <c r="G30" i="104"/>
  <c r="G29" i="104"/>
  <c r="G28" i="104"/>
  <c r="E41" i="104"/>
  <c r="E40" i="104"/>
  <c r="E39" i="104"/>
  <c r="E38" i="104"/>
  <c r="E37" i="104"/>
  <c r="E36" i="104"/>
  <c r="E35" i="104"/>
  <c r="E34" i="104"/>
  <c r="E33" i="104"/>
  <c r="E32" i="104"/>
  <c r="E31" i="104"/>
  <c r="E30" i="104"/>
  <c r="E29" i="104"/>
  <c r="E28" i="104"/>
  <c r="D41" i="104"/>
  <c r="D40" i="104"/>
  <c r="D39" i="104"/>
  <c r="D38" i="104"/>
  <c r="D37" i="104"/>
  <c r="D36" i="104"/>
  <c r="D35" i="104"/>
  <c r="D34" i="104"/>
  <c r="D33" i="104"/>
  <c r="D32" i="104"/>
  <c r="D31" i="104"/>
  <c r="D30" i="104"/>
  <c r="D29" i="104"/>
  <c r="D28" i="104"/>
  <c r="L20" i="104"/>
  <c r="L21" i="104"/>
  <c r="L19" i="104"/>
  <c r="L18" i="104"/>
  <c r="L17" i="104"/>
  <c r="H16" i="104"/>
  <c r="L16" i="104" s="1"/>
  <c r="H15" i="104"/>
  <c r="L15" i="104" s="1"/>
  <c r="H14" i="104"/>
  <c r="L14" i="104" s="1"/>
  <c r="H13" i="104"/>
  <c r="L13" i="104" s="1"/>
  <c r="H12" i="104"/>
  <c r="L12" i="104" s="1"/>
  <c r="H11" i="104"/>
  <c r="L11" i="104" s="1"/>
  <c r="H10" i="104"/>
  <c r="L10" i="104" s="1"/>
  <c r="H9" i="104"/>
  <c r="L9" i="104" s="1"/>
  <c r="H8" i="104"/>
  <c r="D27" i="93"/>
  <c r="E16" i="104"/>
  <c r="G16" i="104" s="1"/>
  <c r="E15" i="104"/>
  <c r="G15" i="104" s="1"/>
  <c r="E14" i="104"/>
  <c r="G14" i="104" s="1"/>
  <c r="E13" i="104"/>
  <c r="G13" i="104" s="1"/>
  <c r="E12" i="104"/>
  <c r="G12" i="104" s="1"/>
  <c r="E11" i="104"/>
  <c r="G11" i="104" s="1"/>
  <c r="E10" i="104"/>
  <c r="G10" i="104" s="1"/>
  <c r="E9" i="104"/>
  <c r="G9" i="104" s="1"/>
  <c r="E8" i="104"/>
  <c r="G8" i="104" s="1"/>
  <c r="D16" i="104"/>
  <c r="D15" i="104"/>
  <c r="D14" i="104"/>
  <c r="D13" i="104"/>
  <c r="D12" i="104"/>
  <c r="D11" i="104"/>
  <c r="D10" i="104"/>
  <c r="D9" i="104"/>
  <c r="D8" i="104"/>
  <c r="U26" i="106"/>
  <c r="V26" i="106"/>
  <c r="W26" i="106"/>
  <c r="X26" i="106"/>
  <c r="Y26" i="106"/>
  <c r="G26" i="106"/>
  <c r="H26" i="106"/>
  <c r="I26" i="106"/>
  <c r="J26" i="106"/>
  <c r="F26" i="106"/>
  <c r="Q7" i="93"/>
  <c r="N7" i="93"/>
  <c r="K7" i="93"/>
  <c r="H7" i="93"/>
  <c r="E7" i="93"/>
  <c r="K8" i="104"/>
  <c r="K22" i="104" s="1"/>
  <c r="D26" i="93"/>
  <c r="L8" i="104" l="1"/>
  <c r="L22" i="104" s="1"/>
  <c r="M20" i="104" s="1"/>
  <c r="D63" i="104"/>
  <c r="F53" i="104" s="1"/>
  <c r="E84" i="104"/>
  <c r="E22" i="104"/>
  <c r="L28" i="104"/>
  <c r="L42" i="104" s="1"/>
  <c r="D22" i="104"/>
  <c r="F10" i="104" s="1"/>
  <c r="E42" i="104"/>
  <c r="F13" i="104"/>
  <c r="F11" i="104"/>
  <c r="G22" i="104"/>
  <c r="D42" i="104"/>
  <c r="G63" i="104"/>
  <c r="G84" i="104"/>
  <c r="F84" i="104"/>
  <c r="E63" i="104"/>
  <c r="H42" i="104"/>
  <c r="I41" i="104" s="1"/>
  <c r="G42" i="104"/>
  <c r="H22" i="104"/>
  <c r="F60" i="104" l="1"/>
  <c r="F59" i="104"/>
  <c r="F62" i="104"/>
  <c r="F61" i="104"/>
  <c r="M14" i="104"/>
  <c r="F57" i="104"/>
  <c r="F55" i="104"/>
  <c r="F52" i="104"/>
  <c r="F51" i="104"/>
  <c r="F50" i="104"/>
  <c r="F15" i="104"/>
  <c r="M33" i="104"/>
  <c r="M31" i="104"/>
  <c r="M38" i="104"/>
  <c r="M35" i="104"/>
  <c r="M30" i="104"/>
  <c r="M32" i="104"/>
  <c r="M29" i="104"/>
  <c r="M41" i="104"/>
  <c r="M40" i="104"/>
  <c r="N14" i="104"/>
  <c r="F54" i="104"/>
  <c r="I29" i="104"/>
  <c r="I34" i="104"/>
  <c r="I40" i="104"/>
  <c r="M28" i="104"/>
  <c r="F14" i="104"/>
  <c r="F8" i="104"/>
  <c r="I28" i="104"/>
  <c r="M10" i="104"/>
  <c r="N10" i="104" s="1"/>
  <c r="F56" i="104"/>
  <c r="F16" i="104"/>
  <c r="M34" i="104"/>
  <c r="F9" i="104"/>
  <c r="N20" i="104"/>
  <c r="O20" i="104" s="1"/>
  <c r="M37" i="104"/>
  <c r="F12" i="104"/>
  <c r="F58" i="104"/>
  <c r="F49" i="104"/>
  <c r="M36" i="104"/>
  <c r="F39" i="104"/>
  <c r="F38" i="104"/>
  <c r="F32" i="104"/>
  <c r="F31" i="104"/>
  <c r="F30" i="104"/>
  <c r="F36" i="104"/>
  <c r="F35" i="104"/>
  <c r="F34" i="104"/>
  <c r="F33" i="104"/>
  <c r="F41" i="104"/>
  <c r="F29" i="104"/>
  <c r="F40" i="104"/>
  <c r="M16" i="104"/>
  <c r="N16" i="104" s="1"/>
  <c r="F28" i="104"/>
  <c r="M19" i="104"/>
  <c r="N19" i="104" s="1"/>
  <c r="O19" i="104" s="1"/>
  <c r="M11" i="104"/>
  <c r="N11" i="104" s="1"/>
  <c r="O11" i="104" s="1"/>
  <c r="M13" i="104"/>
  <c r="N13" i="104" s="1"/>
  <c r="O13" i="104" s="1"/>
  <c r="I33" i="104"/>
  <c r="I32" i="104"/>
  <c r="I36" i="104"/>
  <c r="I35" i="104"/>
  <c r="I39" i="104"/>
  <c r="F37" i="104"/>
  <c r="I38" i="104"/>
  <c r="M17" i="104"/>
  <c r="N17" i="104" s="1"/>
  <c r="O17" i="104" s="1"/>
  <c r="I37" i="104"/>
  <c r="M39" i="104"/>
  <c r="M21" i="104"/>
  <c r="N21" i="104" s="1"/>
  <c r="O21" i="104" s="1"/>
  <c r="M12" i="104"/>
  <c r="N12" i="104" s="1"/>
  <c r="O12" i="104" s="1"/>
  <c r="I31" i="104"/>
  <c r="M18" i="104"/>
  <c r="N18" i="104" s="1"/>
  <c r="O18" i="104" s="1"/>
  <c r="M8" i="104"/>
  <c r="N8" i="104" s="1"/>
  <c r="M15" i="104"/>
  <c r="N15" i="104" s="1"/>
  <c r="M9" i="104"/>
  <c r="N9" i="104" s="1"/>
  <c r="O9" i="104" s="1"/>
  <c r="I30" i="104"/>
  <c r="I13" i="104"/>
  <c r="J13" i="104" s="1"/>
  <c r="I11" i="104"/>
  <c r="J11" i="104" s="1"/>
  <c r="I12" i="104"/>
  <c r="J12" i="104" s="1"/>
  <c r="I16" i="104"/>
  <c r="J16" i="104" s="1"/>
  <c r="I10" i="104"/>
  <c r="J10" i="104" s="1"/>
  <c r="I9" i="104"/>
  <c r="J9" i="104" s="1"/>
  <c r="I8" i="104"/>
  <c r="J8" i="104" s="1"/>
  <c r="I15" i="104"/>
  <c r="J15" i="104" s="1"/>
  <c r="I14" i="104"/>
  <c r="J14" i="104" s="1"/>
  <c r="O14" i="104" l="1"/>
  <c r="O10" i="104"/>
  <c r="O16" i="104"/>
  <c r="O15" i="104"/>
  <c r="F22" i="104"/>
  <c r="F63" i="104"/>
  <c r="O8" i="104"/>
  <c r="N22" i="104"/>
  <c r="I42" i="104"/>
  <c r="M42" i="104"/>
  <c r="F42" i="104"/>
  <c r="M22" i="104"/>
  <c r="I22" i="104"/>
  <c r="O22" i="104" l="1"/>
  <c r="F15" i="2" l="1"/>
  <c r="E16" i="2"/>
  <c r="F16" i="2"/>
  <c r="G16" i="2"/>
  <c r="H16" i="2"/>
  <c r="I16" i="2"/>
  <c r="E17" i="2"/>
  <c r="E18" i="2"/>
  <c r="F18" i="2"/>
  <c r="G18" i="2"/>
  <c r="H18" i="2"/>
  <c r="I18" i="2"/>
  <c r="I14" i="2"/>
  <c r="H14" i="2"/>
  <c r="E28" i="93"/>
  <c r="F11" i="2"/>
  <c r="G11" i="2"/>
  <c r="H11" i="2"/>
  <c r="I11" i="2"/>
  <c r="F12" i="2"/>
  <c r="G12" i="2"/>
  <c r="H12" i="2"/>
  <c r="I12" i="2"/>
  <c r="E12" i="2"/>
  <c r="E11" i="2"/>
  <c r="H31" i="93"/>
  <c r="Q30" i="93"/>
  <c r="N30" i="93"/>
  <c r="K30" i="93"/>
  <c r="H30" i="93"/>
  <c r="E30" i="93"/>
  <c r="Q29" i="93"/>
  <c r="I17" i="2" s="1"/>
  <c r="N29" i="93"/>
  <c r="H17" i="2" s="1"/>
  <c r="K29" i="93"/>
  <c r="G17" i="2" s="1"/>
  <c r="H29" i="93"/>
  <c r="F17" i="2" s="1"/>
  <c r="Q28" i="93"/>
  <c r="N28" i="93"/>
  <c r="K28" i="93"/>
  <c r="H28" i="93"/>
  <c r="D28" i="93"/>
  <c r="Q27" i="93"/>
  <c r="I15" i="2" s="1"/>
  <c r="N27" i="93"/>
  <c r="H15" i="2" s="1"/>
  <c r="K27" i="93"/>
  <c r="G15" i="2" s="1"/>
  <c r="H27" i="93"/>
  <c r="E27" i="93"/>
  <c r="E15" i="2" s="1"/>
  <c r="Q26" i="93"/>
  <c r="N26" i="93"/>
  <c r="K26" i="93"/>
  <c r="G14" i="2" s="1"/>
  <c r="H26" i="93"/>
  <c r="F14" i="2" s="1"/>
  <c r="E26" i="93"/>
  <c r="E14" i="2" s="1"/>
  <c r="Q25" i="93"/>
  <c r="N25" i="93"/>
  <c r="K25" i="93"/>
  <c r="H25" i="93"/>
  <c r="E25" i="93"/>
  <c r="Q24" i="93"/>
  <c r="N24" i="93"/>
  <c r="K24" i="93"/>
  <c r="H24" i="93"/>
  <c r="E24" i="93"/>
  <c r="D24" i="93"/>
  <c r="Q23" i="93"/>
  <c r="N23" i="93"/>
  <c r="K23" i="93"/>
  <c r="H23" i="93"/>
  <c r="Q22" i="93"/>
  <c r="N22" i="93"/>
  <c r="K22" i="93"/>
  <c r="H22" i="93"/>
  <c r="F10" i="2" s="1"/>
  <c r="E22" i="93"/>
  <c r="E10" i="2" s="1"/>
  <c r="F117" i="14"/>
  <c r="F118" i="14"/>
  <c r="F119" i="14"/>
  <c r="F120" i="14"/>
  <c r="F121" i="14"/>
  <c r="F122" i="14"/>
  <c r="F123" i="14"/>
  <c r="F124" i="14"/>
  <c r="F125" i="14"/>
  <c r="F126" i="14"/>
  <c r="F127" i="14"/>
  <c r="F128" i="14"/>
  <c r="F129" i="14"/>
  <c r="F130" i="14"/>
  <c r="F131" i="14"/>
  <c r="F132" i="14"/>
  <c r="F133" i="14"/>
  <c r="F134" i="14"/>
  <c r="F135" i="14"/>
  <c r="G117" i="14"/>
  <c r="J117" i="14"/>
  <c r="M117" i="14"/>
  <c r="P117" i="14"/>
  <c r="G122" i="14"/>
  <c r="J122" i="14"/>
  <c r="M122" i="14"/>
  <c r="P122" i="14"/>
  <c r="G124" i="14"/>
  <c r="J124" i="14"/>
  <c r="M124" i="14"/>
  <c r="P124" i="14"/>
  <c r="G134" i="14"/>
  <c r="J134" i="14"/>
  <c r="M134" i="14"/>
  <c r="P134" i="14"/>
  <c r="G135" i="14"/>
  <c r="J135" i="14"/>
  <c r="M135" i="14"/>
  <c r="P135" i="14"/>
  <c r="D136" i="14"/>
  <c r="E136" i="14"/>
  <c r="D117" i="14"/>
  <c r="E117" i="14"/>
  <c r="D118" i="14"/>
  <c r="E118" i="14"/>
  <c r="D119" i="14"/>
  <c r="E119" i="14"/>
  <c r="D120" i="14"/>
  <c r="E120" i="14"/>
  <c r="D121" i="14"/>
  <c r="E121" i="14"/>
  <c r="D122" i="14"/>
  <c r="E122" i="14"/>
  <c r="D123" i="14"/>
  <c r="E123" i="14"/>
  <c r="D124" i="14"/>
  <c r="E124" i="14"/>
  <c r="D125" i="14"/>
  <c r="E125" i="14"/>
  <c r="D126" i="14"/>
  <c r="E126" i="14"/>
  <c r="D127" i="14"/>
  <c r="E127" i="14"/>
  <c r="D128" i="14"/>
  <c r="E128" i="14"/>
  <c r="D129" i="14"/>
  <c r="E129" i="14"/>
  <c r="D130" i="14"/>
  <c r="E130" i="14"/>
  <c r="D131" i="14"/>
  <c r="E131" i="14"/>
  <c r="D132" i="14"/>
  <c r="E132" i="14"/>
  <c r="D133" i="14"/>
  <c r="E133" i="14"/>
  <c r="D134" i="14"/>
  <c r="E134" i="14"/>
  <c r="D135" i="14"/>
  <c r="E135" i="14"/>
  <c r="G90" i="14"/>
  <c r="J90" i="14"/>
  <c r="M90" i="14"/>
  <c r="G95" i="14"/>
  <c r="J95" i="14"/>
  <c r="M95" i="14"/>
  <c r="G97" i="14"/>
  <c r="J97" i="14"/>
  <c r="M97" i="14"/>
  <c r="G107" i="14"/>
  <c r="J107" i="14"/>
  <c r="M107" i="14"/>
  <c r="G108" i="14"/>
  <c r="J108" i="14"/>
  <c r="M108" i="14"/>
  <c r="D90" i="14"/>
  <c r="E90" i="14"/>
  <c r="D91" i="14"/>
  <c r="E91" i="14"/>
  <c r="D92" i="14"/>
  <c r="E92" i="14"/>
  <c r="D93" i="14"/>
  <c r="E93" i="14"/>
  <c r="D94" i="14"/>
  <c r="E94" i="14"/>
  <c r="D95" i="14"/>
  <c r="E95" i="14"/>
  <c r="D96" i="14"/>
  <c r="E96" i="14"/>
  <c r="D97" i="14"/>
  <c r="E97" i="14"/>
  <c r="D98" i="14"/>
  <c r="E98" i="14"/>
  <c r="D99" i="14"/>
  <c r="E99" i="14"/>
  <c r="D100" i="14"/>
  <c r="E100" i="14"/>
  <c r="D101" i="14"/>
  <c r="E101" i="14"/>
  <c r="D102" i="14"/>
  <c r="E102" i="14"/>
  <c r="D103" i="14"/>
  <c r="E103" i="14"/>
  <c r="D104" i="14"/>
  <c r="E104" i="14"/>
  <c r="D105" i="14"/>
  <c r="E105" i="14"/>
  <c r="D106" i="14"/>
  <c r="E106" i="14"/>
  <c r="D107" i="14"/>
  <c r="E107" i="14"/>
  <c r="D108" i="14"/>
  <c r="E108" i="14"/>
  <c r="D109" i="14"/>
  <c r="E109" i="14"/>
  <c r="K30" i="94"/>
  <c r="K31" i="94"/>
  <c r="K32" i="94"/>
  <c r="K33" i="94"/>
  <c r="K34" i="94"/>
  <c r="K35" i="94"/>
  <c r="K36" i="94"/>
  <c r="K37" i="94"/>
  <c r="K38" i="94"/>
  <c r="K39" i="94"/>
  <c r="K40" i="94"/>
  <c r="K41" i="94"/>
  <c r="K42" i="94"/>
  <c r="K43" i="94"/>
  <c r="K8" i="94"/>
  <c r="K9" i="94"/>
  <c r="K10" i="94"/>
  <c r="K11" i="94"/>
  <c r="K12" i="94"/>
  <c r="K13" i="94"/>
  <c r="K14" i="94"/>
  <c r="K15" i="94"/>
  <c r="K16" i="94"/>
  <c r="K17" i="94"/>
  <c r="K18" i="94"/>
  <c r="K19" i="94"/>
  <c r="K20" i="94"/>
  <c r="K21" i="94"/>
  <c r="V5" i="103"/>
  <c r="L11" i="103"/>
  <c r="L4" i="103"/>
  <c r="R12" i="103"/>
  <c r="K31" i="93" l="1"/>
  <c r="Q31" i="93"/>
  <c r="N31" i="93"/>
  <c r="I10" i="2"/>
  <c r="H10" i="2"/>
  <c r="G10" i="2"/>
  <c r="E31" i="93"/>
  <c r="G20" i="14"/>
  <c r="G21" i="14"/>
  <c r="G22" i="14"/>
  <c r="G23" i="14"/>
  <c r="L23" i="14" l="1"/>
  <c r="L22" i="14"/>
  <c r="L21" i="14"/>
  <c r="L20" i="14"/>
  <c r="L19" i="14"/>
  <c r="L18" i="14"/>
  <c r="L17" i="14"/>
  <c r="L16" i="14"/>
  <c r="L15" i="14"/>
  <c r="L14" i="14"/>
  <c r="L13" i="14"/>
  <c r="L12" i="14"/>
  <c r="L11" i="14"/>
  <c r="L10" i="14"/>
  <c r="G8" i="94"/>
  <c r="H49" i="104" s="1"/>
  <c r="E31" i="102"/>
  <c r="E32" i="102"/>
  <c r="E33" i="102"/>
  <c r="E34" i="102"/>
  <c r="E35" i="102"/>
  <c r="E36" i="102"/>
  <c r="E37" i="102"/>
  <c r="E38" i="102"/>
  <c r="E39" i="102"/>
  <c r="E40" i="102"/>
  <c r="E41" i="102"/>
  <c r="E42" i="102"/>
  <c r="E43" i="102"/>
  <c r="E30" i="102"/>
  <c r="L49" i="104" l="1"/>
  <c r="G43" i="94"/>
  <c r="H83" i="104" s="1"/>
  <c r="L83" i="104" s="1"/>
  <c r="G42" i="94"/>
  <c r="H82" i="104" s="1"/>
  <c r="L82" i="104" s="1"/>
  <c r="G41" i="94"/>
  <c r="H81" i="104" s="1"/>
  <c r="L81" i="104" s="1"/>
  <c r="G40" i="94"/>
  <c r="H80" i="104" s="1"/>
  <c r="L80" i="104" s="1"/>
  <c r="G39" i="94"/>
  <c r="H79" i="104" s="1"/>
  <c r="L79" i="104" s="1"/>
  <c r="G38" i="94"/>
  <c r="H78" i="104" s="1"/>
  <c r="L78" i="104" s="1"/>
  <c r="G37" i="94"/>
  <c r="H77" i="104" s="1"/>
  <c r="L77" i="104" s="1"/>
  <c r="G36" i="94"/>
  <c r="H76" i="104" s="1"/>
  <c r="L76" i="104" s="1"/>
  <c r="G35" i="94"/>
  <c r="H75" i="104" s="1"/>
  <c r="L75" i="104" s="1"/>
  <c r="G34" i="94"/>
  <c r="H74" i="104" s="1"/>
  <c r="L74" i="104" s="1"/>
  <c r="G33" i="94"/>
  <c r="H73" i="104" s="1"/>
  <c r="L73" i="104" s="1"/>
  <c r="G32" i="94"/>
  <c r="H72" i="104" s="1"/>
  <c r="L72" i="104" s="1"/>
  <c r="G31" i="94"/>
  <c r="H71" i="104" s="1"/>
  <c r="L71" i="104" s="1"/>
  <c r="G30" i="94"/>
  <c r="G17" i="94"/>
  <c r="H58" i="104" s="1"/>
  <c r="L58" i="104" s="1"/>
  <c r="G16" i="94"/>
  <c r="H57" i="104" s="1"/>
  <c r="L57" i="104" s="1"/>
  <c r="G15" i="94"/>
  <c r="H56" i="104" s="1"/>
  <c r="L56" i="104" s="1"/>
  <c r="G14" i="94"/>
  <c r="H55" i="104" s="1"/>
  <c r="L55" i="104" s="1"/>
  <c r="G13" i="94"/>
  <c r="H54" i="104" s="1"/>
  <c r="L54" i="104" s="1"/>
  <c r="G12" i="94"/>
  <c r="H53" i="104" s="1"/>
  <c r="L53" i="104" s="1"/>
  <c r="G11" i="94"/>
  <c r="H52" i="104" s="1"/>
  <c r="L52" i="104" s="1"/>
  <c r="G10" i="94"/>
  <c r="H51" i="104" s="1"/>
  <c r="L51" i="104" s="1"/>
  <c r="G9" i="94"/>
  <c r="H50" i="104" s="1"/>
  <c r="L50" i="104" s="1"/>
  <c r="I7" i="100"/>
  <c r="J7" i="100" s="1"/>
  <c r="H7" i="100"/>
  <c r="I6" i="100"/>
  <c r="H6" i="100"/>
  <c r="I5" i="100"/>
  <c r="H5" i="100"/>
  <c r="J5" i="100" s="1"/>
  <c r="I4" i="100"/>
  <c r="H4" i="100"/>
  <c r="I3" i="100"/>
  <c r="H3" i="100"/>
  <c r="J6" i="100"/>
  <c r="BM65" i="97"/>
  <c r="BN65" i="97"/>
  <c r="BN64" i="97"/>
  <c r="BN63" i="97"/>
  <c r="BN62" i="97"/>
  <c r="BN61" i="97"/>
  <c r="BN60" i="97"/>
  <c r="BN59" i="97"/>
  <c r="BN58" i="97"/>
  <c r="BN57" i="97"/>
  <c r="BN56" i="97"/>
  <c r="BN55" i="97"/>
  <c r="BN54" i="97"/>
  <c r="BN53" i="97"/>
  <c r="BN52" i="97"/>
  <c r="BM64" i="97"/>
  <c r="BM63" i="97"/>
  <c r="BM62" i="97"/>
  <c r="H70" i="104" l="1"/>
  <c r="G44" i="94"/>
  <c r="H30" i="94" s="1"/>
  <c r="I70" i="104" s="1"/>
  <c r="G22" i="94"/>
  <c r="H18" i="94" s="1"/>
  <c r="I59" i="104" s="1"/>
  <c r="H63" i="104"/>
  <c r="L63" i="104"/>
  <c r="M58" i="104" s="1"/>
  <c r="M49" i="104"/>
  <c r="J4" i="100"/>
  <c r="J3" i="100"/>
  <c r="C20" i="100"/>
  <c r="E14" i="100"/>
  <c r="M57" i="104" l="1"/>
  <c r="M51" i="104"/>
  <c r="M56" i="104"/>
  <c r="M55" i="104"/>
  <c r="M53" i="104"/>
  <c r="L70" i="104"/>
  <c r="H84" i="104"/>
  <c r="M60" i="104"/>
  <c r="M59" i="104"/>
  <c r="M61" i="104"/>
  <c r="M62" i="104"/>
  <c r="M54" i="104"/>
  <c r="M52" i="104"/>
  <c r="M50" i="104"/>
  <c r="H20" i="94"/>
  <c r="I61" i="104" s="1"/>
  <c r="H21" i="94"/>
  <c r="I62" i="104" s="1"/>
  <c r="H19" i="94"/>
  <c r="I60" i="104" s="1"/>
  <c r="H10" i="94"/>
  <c r="I51" i="104" s="1"/>
  <c r="H16" i="94"/>
  <c r="I57" i="104" s="1"/>
  <c r="H15" i="94"/>
  <c r="I56" i="104" s="1"/>
  <c r="H13" i="94"/>
  <c r="I54" i="104" s="1"/>
  <c r="H17" i="94"/>
  <c r="I58" i="104" s="1"/>
  <c r="H14" i="94"/>
  <c r="I55" i="104" s="1"/>
  <c r="H11" i="94"/>
  <c r="I52" i="104" s="1"/>
  <c r="H12" i="94"/>
  <c r="I53" i="104" s="1"/>
  <c r="H9" i="94"/>
  <c r="I50" i="104" s="1"/>
  <c r="C139" i="100"/>
  <c r="E11" i="100"/>
  <c r="M63" i="104" l="1"/>
  <c r="L84" i="104"/>
  <c r="M70" i="104" s="1"/>
  <c r="C66" i="100"/>
  <c r="D66" i="100"/>
  <c r="E66" i="100"/>
  <c r="C67" i="100"/>
  <c r="D67" i="100"/>
  <c r="G67" i="100"/>
  <c r="G68" i="100" s="1"/>
  <c r="H27" i="76"/>
  <c r="I27" i="76" s="1"/>
  <c r="H28" i="76"/>
  <c r="I28" i="76" s="1"/>
  <c r="H29" i="76"/>
  <c r="I29" i="76" s="1"/>
  <c r="G27" i="76"/>
  <c r="G28" i="76"/>
  <c r="G29" i="76"/>
  <c r="F26" i="76"/>
  <c r="G26" i="76" s="1"/>
  <c r="F27" i="76"/>
  <c r="F28" i="76"/>
  <c r="F29" i="76"/>
  <c r="J10" i="14"/>
  <c r="J17" i="14"/>
  <c r="J18" i="14"/>
  <c r="J19" i="14"/>
  <c r="J20" i="14"/>
  <c r="J21" i="14"/>
  <c r="J22" i="14"/>
  <c r="D10" i="14"/>
  <c r="D11" i="14"/>
  <c r="D12" i="14"/>
  <c r="D13" i="14"/>
  <c r="D14" i="14"/>
  <c r="D15" i="14"/>
  <c r="D16" i="14"/>
  <c r="D17" i="14"/>
  <c r="D18" i="14"/>
  <c r="D19" i="14"/>
  <c r="D20" i="14"/>
  <c r="D21" i="14"/>
  <c r="D22" i="14"/>
  <c r="D23" i="14"/>
  <c r="D24" i="14"/>
  <c r="D41" i="92"/>
  <c r="D42" i="92"/>
  <c r="D43" i="92"/>
  <c r="D44" i="92"/>
  <c r="D45" i="92"/>
  <c r="D46" i="92"/>
  <c r="D47" i="92"/>
  <c r="D48" i="92"/>
  <c r="D49" i="92"/>
  <c r="D50" i="92"/>
  <c r="D51" i="92"/>
  <c r="D52" i="92"/>
  <c r="D53" i="92"/>
  <c r="D51" i="14" s="1"/>
  <c r="D40" i="92"/>
  <c r="D39" i="92"/>
  <c r="D38" i="92"/>
  <c r="D37" i="92"/>
  <c r="D36" i="92"/>
  <c r="N14" i="92"/>
  <c r="N15" i="92"/>
  <c r="N16" i="92"/>
  <c r="N17" i="92"/>
  <c r="N18" i="92"/>
  <c r="N19" i="92"/>
  <c r="N20" i="92"/>
  <c r="N21" i="92"/>
  <c r="N22" i="92"/>
  <c r="N23" i="92"/>
  <c r="N24" i="92"/>
  <c r="N25" i="92"/>
  <c r="N26" i="92"/>
  <c r="N27" i="92"/>
  <c r="L13" i="92"/>
  <c r="L14" i="92"/>
  <c r="L15" i="92"/>
  <c r="L16" i="92"/>
  <c r="L17" i="92"/>
  <c r="L18" i="92"/>
  <c r="L19" i="92"/>
  <c r="L20" i="92"/>
  <c r="L21" i="92"/>
  <c r="L22" i="92"/>
  <c r="L23" i="92"/>
  <c r="L24" i="92"/>
  <c r="L25" i="92"/>
  <c r="L26" i="92"/>
  <c r="L27" i="92"/>
  <c r="H13" i="92"/>
  <c r="H14" i="92"/>
  <c r="J11" i="14" s="1"/>
  <c r="H15" i="92"/>
  <c r="H16" i="92"/>
  <c r="H17" i="92"/>
  <c r="H18" i="92"/>
  <c r="J15" i="14" s="1"/>
  <c r="H19" i="92"/>
  <c r="J16" i="14" s="1"/>
  <c r="H20" i="92"/>
  <c r="H21" i="92"/>
  <c r="H22" i="92"/>
  <c r="H23" i="92"/>
  <c r="H24" i="92"/>
  <c r="H25" i="92"/>
  <c r="H26" i="92"/>
  <c r="J23" i="14" s="1"/>
  <c r="H27" i="92"/>
  <c r="D13" i="92"/>
  <c r="D14" i="92"/>
  <c r="D15" i="92"/>
  <c r="D16" i="92"/>
  <c r="D17" i="92"/>
  <c r="D18" i="92"/>
  <c r="D19" i="92"/>
  <c r="D20" i="92"/>
  <c r="D21" i="92"/>
  <c r="D22" i="92"/>
  <c r="D23" i="92"/>
  <c r="D24" i="92"/>
  <c r="D25" i="92"/>
  <c r="D26" i="92"/>
  <c r="D27" i="92"/>
  <c r="O11" i="91"/>
  <c r="O12" i="91"/>
  <c r="O13" i="91"/>
  <c r="O14" i="91"/>
  <c r="O15" i="91"/>
  <c r="O16" i="91"/>
  <c r="O17" i="91"/>
  <c r="O18" i="91"/>
  <c r="O19" i="91"/>
  <c r="O20" i="91"/>
  <c r="O21" i="91"/>
  <c r="O22" i="91"/>
  <c r="O23" i="91"/>
  <c r="O24" i="91"/>
  <c r="O25" i="91"/>
  <c r="C23" i="96"/>
  <c r="D23" i="96"/>
  <c r="E23" i="96"/>
  <c r="F23" i="96"/>
  <c r="G23" i="96"/>
  <c r="H23" i="96"/>
  <c r="I23" i="96"/>
  <c r="J23" i="96"/>
  <c r="K23" i="96"/>
  <c r="L23" i="96"/>
  <c r="M23" i="96"/>
  <c r="N23" i="96"/>
  <c r="E30" i="2"/>
  <c r="J30" i="2"/>
  <c r="K30" i="2"/>
  <c r="D77" i="14"/>
  <c r="D78" i="14"/>
  <c r="G77" i="14"/>
  <c r="G78" i="14"/>
  <c r="J77" i="14"/>
  <c r="J78" i="14"/>
  <c r="M77" i="14"/>
  <c r="M78" i="14"/>
  <c r="P77" i="14"/>
  <c r="P78" i="14"/>
  <c r="E19" i="2"/>
  <c r="F52" i="14" s="1"/>
  <c r="F109" i="14" s="1"/>
  <c r="D10" i="90"/>
  <c r="G51" i="14"/>
  <c r="L52" i="92"/>
  <c r="P50" i="14" s="1"/>
  <c r="L53" i="92"/>
  <c r="J52" i="92"/>
  <c r="J53" i="92"/>
  <c r="H52" i="92"/>
  <c r="H53" i="92"/>
  <c r="F53" i="92"/>
  <c r="D50" i="14"/>
  <c r="F52" i="92"/>
  <c r="G50" i="14" s="1"/>
  <c r="U8" i="103"/>
  <c r="U7" i="103"/>
  <c r="T16" i="103"/>
  <c r="F17" i="103"/>
  <c r="W5" i="103"/>
  <c r="E177" i="65" s="1"/>
  <c r="M77" i="104" l="1"/>
  <c r="M71" i="104"/>
  <c r="M83" i="104"/>
  <c r="M81" i="104"/>
  <c r="M76" i="104"/>
  <c r="M74" i="104"/>
  <c r="M82" i="104"/>
  <c r="M79" i="104"/>
  <c r="M72" i="104"/>
  <c r="M73" i="104"/>
  <c r="M75" i="104"/>
  <c r="M80" i="104"/>
  <c r="M78" i="104"/>
  <c r="F95" i="14"/>
  <c r="F107" i="14"/>
  <c r="F97" i="14"/>
  <c r="F96" i="14"/>
  <c r="F108" i="14"/>
  <c r="F98" i="14"/>
  <c r="F99" i="14"/>
  <c r="F90" i="14"/>
  <c r="F103" i="14"/>
  <c r="F100" i="14"/>
  <c r="F101" i="14"/>
  <c r="F102" i="14"/>
  <c r="F91" i="14"/>
  <c r="F92" i="14"/>
  <c r="F104" i="14"/>
  <c r="F93" i="14"/>
  <c r="F106" i="14"/>
  <c r="F105" i="14"/>
  <c r="F94" i="14"/>
  <c r="D35" i="92"/>
  <c r="D177" i="65"/>
  <c r="X5" i="103"/>
  <c r="F177" i="65" s="1"/>
  <c r="F79" i="14"/>
  <c r="G69" i="100"/>
  <c r="D68" i="100"/>
  <c r="C68" i="100"/>
  <c r="E67" i="100"/>
  <c r="H26" i="76"/>
  <c r="I26" i="76" s="1"/>
  <c r="J25" i="14"/>
  <c r="J14" i="14"/>
  <c r="P51" i="14"/>
  <c r="J50" i="14"/>
  <c r="J13" i="14"/>
  <c r="J51" i="14"/>
  <c r="M51" i="14"/>
  <c r="J24" i="14"/>
  <c r="J12" i="14"/>
  <c r="M50" i="14"/>
  <c r="M84" i="104" l="1"/>
  <c r="Y5" i="103"/>
  <c r="F78" i="14"/>
  <c r="F77" i="14"/>
  <c r="F76" i="14"/>
  <c r="F75" i="14"/>
  <c r="D69" i="100"/>
  <c r="G70" i="100"/>
  <c r="E68" i="100"/>
  <c r="C69" i="100"/>
  <c r="F153" i="65"/>
  <c r="G153" i="65"/>
  <c r="H153" i="65"/>
  <c r="I153" i="65"/>
  <c r="J153" i="65"/>
  <c r="K153" i="65"/>
  <c r="L153" i="65"/>
  <c r="E153" i="65"/>
  <c r="D153" i="65"/>
  <c r="E160" i="65"/>
  <c r="F160" i="65"/>
  <c r="G160" i="65"/>
  <c r="H160" i="65"/>
  <c r="P160" i="65" s="1"/>
  <c r="I160" i="65"/>
  <c r="J160" i="65"/>
  <c r="K160" i="65"/>
  <c r="L160" i="65"/>
  <c r="M160" i="65"/>
  <c r="N160" i="65"/>
  <c r="O160" i="65"/>
  <c r="D160" i="65"/>
  <c r="R8" i="103"/>
  <c r="R9" i="103"/>
  <c r="R10" i="103"/>
  <c r="E167" i="65"/>
  <c r="F167" i="65"/>
  <c r="G167" i="65"/>
  <c r="H167" i="65"/>
  <c r="I167" i="65"/>
  <c r="J167" i="65"/>
  <c r="K167" i="65"/>
  <c r="L167" i="65"/>
  <c r="M167" i="65"/>
  <c r="N167" i="65"/>
  <c r="O167" i="65"/>
  <c r="D167" i="65"/>
  <c r="P167" i="65" s="1"/>
  <c r="E146" i="65"/>
  <c r="P146" i="65" s="1"/>
  <c r="F146" i="65"/>
  <c r="G146" i="65"/>
  <c r="H146" i="65"/>
  <c r="I146" i="65"/>
  <c r="J146" i="65"/>
  <c r="K146" i="65"/>
  <c r="L146" i="65"/>
  <c r="M146" i="65"/>
  <c r="N146" i="65"/>
  <c r="O146" i="65"/>
  <c r="D146" i="65"/>
  <c r="R11" i="103"/>
  <c r="Q16" i="103"/>
  <c r="P16" i="103"/>
  <c r="O16" i="103"/>
  <c r="N16" i="103"/>
  <c r="M16" i="103"/>
  <c r="L16" i="103"/>
  <c r="K16" i="103"/>
  <c r="J16" i="103"/>
  <c r="I16" i="103"/>
  <c r="H16" i="103"/>
  <c r="G16" i="103"/>
  <c r="F16" i="103"/>
  <c r="R16" i="103" s="1"/>
  <c r="R7" i="103"/>
  <c r="Z5" i="103" l="1"/>
  <c r="H177" i="65" s="1"/>
  <c r="G177" i="65"/>
  <c r="G71" i="100"/>
  <c r="D70" i="100"/>
  <c r="E69" i="100"/>
  <c r="C70" i="100"/>
  <c r="P153" i="65"/>
  <c r="E70" i="100" l="1"/>
  <c r="G72" i="100"/>
  <c r="D71" i="100"/>
  <c r="C71" i="100"/>
  <c r="F18" i="103"/>
  <c r="G17" i="103"/>
  <c r="L17" i="103"/>
  <c r="L18" i="103" s="1"/>
  <c r="L19" i="103" s="1"/>
  <c r="L20" i="103" s="1"/>
  <c r="L21" i="103" s="1"/>
  <c r="L22" i="103" s="1"/>
  <c r="O17" i="103"/>
  <c r="O18" i="103" s="1"/>
  <c r="O19" i="103" s="1"/>
  <c r="O20" i="103" s="1"/>
  <c r="O21" i="103" s="1"/>
  <c r="O22" i="103" s="1"/>
  <c r="N17" i="103"/>
  <c r="N18" i="103" s="1"/>
  <c r="N19" i="103" s="1"/>
  <c r="N20" i="103" s="1"/>
  <c r="N21" i="103" s="1"/>
  <c r="N22" i="103" s="1"/>
  <c r="H17" i="103"/>
  <c r="H18" i="103" s="1"/>
  <c r="H19" i="103" s="1"/>
  <c r="H20" i="103" s="1"/>
  <c r="H21" i="103" s="1"/>
  <c r="H22" i="103" s="1"/>
  <c r="P17" i="103"/>
  <c r="P18" i="103" s="1"/>
  <c r="P19" i="103" s="1"/>
  <c r="P20" i="103" s="1"/>
  <c r="P21" i="103" s="1"/>
  <c r="P22" i="103" s="1"/>
  <c r="Q17" i="103"/>
  <c r="Q18" i="103" s="1"/>
  <c r="Q19" i="103" s="1"/>
  <c r="Q20" i="103" s="1"/>
  <c r="Q21" i="103" s="1"/>
  <c r="Q22" i="103" s="1"/>
  <c r="K17" i="103"/>
  <c r="K18" i="103" s="1"/>
  <c r="K19" i="103" s="1"/>
  <c r="K20" i="103" s="1"/>
  <c r="K21" i="103" s="1"/>
  <c r="K22" i="103" s="1"/>
  <c r="J17" i="103"/>
  <c r="J18" i="103" s="1"/>
  <c r="J19" i="103" s="1"/>
  <c r="J20" i="103" s="1"/>
  <c r="J21" i="103" s="1"/>
  <c r="J22" i="103" s="1"/>
  <c r="I17" i="103"/>
  <c r="I18" i="103" s="1"/>
  <c r="I19" i="103" s="1"/>
  <c r="I20" i="103" s="1"/>
  <c r="I21" i="103" s="1"/>
  <c r="I22" i="103" s="1"/>
  <c r="M17" i="103"/>
  <c r="M18" i="103" s="1"/>
  <c r="M19" i="103" s="1"/>
  <c r="M20" i="103" s="1"/>
  <c r="M21" i="103" s="1"/>
  <c r="M22" i="103" s="1"/>
  <c r="T17" i="103"/>
  <c r="T18" i="103" s="1"/>
  <c r="T19" i="103" s="1"/>
  <c r="T20" i="103" s="1"/>
  <c r="T21" i="103" s="1"/>
  <c r="T22" i="103" s="1"/>
  <c r="G18" i="103" l="1"/>
  <c r="G19" i="103" s="1"/>
  <c r="G20" i="103" s="1"/>
  <c r="G21" i="103" s="1"/>
  <c r="G22" i="103" s="1"/>
  <c r="R17" i="103"/>
  <c r="D72" i="100"/>
  <c r="G73" i="100"/>
  <c r="C72" i="100"/>
  <c r="C73" i="100"/>
  <c r="E71" i="100"/>
  <c r="F19" i="103"/>
  <c r="R18" i="103"/>
  <c r="E72" i="100" l="1"/>
  <c r="C75" i="100"/>
  <c r="C76" i="100"/>
  <c r="C74" i="100"/>
  <c r="G74" i="100"/>
  <c r="D73" i="100"/>
  <c r="F20" i="103"/>
  <c r="R19" i="103"/>
  <c r="C77" i="100" l="1"/>
  <c r="E73" i="100"/>
  <c r="G75" i="100"/>
  <c r="D74" i="100"/>
  <c r="R20" i="103"/>
  <c r="F21" i="103"/>
  <c r="D75" i="100" l="1"/>
  <c r="G76" i="100"/>
  <c r="C78" i="100"/>
  <c r="E74" i="100"/>
  <c r="F22" i="103"/>
  <c r="R22" i="103" s="1"/>
  <c r="R21" i="103"/>
  <c r="G77" i="100" l="1"/>
  <c r="D76" i="100"/>
  <c r="E75" i="100"/>
  <c r="C79" i="100"/>
  <c r="O17" i="96"/>
  <c r="E76" i="100" l="1"/>
  <c r="G78" i="100"/>
  <c r="D77" i="100"/>
  <c r="C80" i="100"/>
  <c r="J139" i="65"/>
  <c r="D44" i="102"/>
  <c r="F44" i="102"/>
  <c r="I44" i="102"/>
  <c r="E77" i="100" l="1"/>
  <c r="D78" i="100"/>
  <c r="G79" i="100"/>
  <c r="C81" i="100"/>
  <c r="I22" i="102"/>
  <c r="F22" i="102"/>
  <c r="D22" i="102"/>
  <c r="E23" i="101"/>
  <c r="G23" i="101" s="1"/>
  <c r="E24" i="101"/>
  <c r="G24" i="101" s="1"/>
  <c r="I54" i="101"/>
  <c r="F54" i="101"/>
  <c r="D54" i="101"/>
  <c r="E53" i="101"/>
  <c r="E52" i="101"/>
  <c r="E51" i="101"/>
  <c r="E50" i="101"/>
  <c r="E49" i="101"/>
  <c r="E48" i="101"/>
  <c r="E47" i="101"/>
  <c r="E46" i="101"/>
  <c r="E54" i="101" s="1"/>
  <c r="I26" i="101"/>
  <c r="F26" i="101"/>
  <c r="D26" i="101"/>
  <c r="D16" i="100"/>
  <c r="C16" i="100"/>
  <c r="D15" i="100"/>
  <c r="C15" i="100"/>
  <c r="D14" i="100"/>
  <c r="C14" i="100"/>
  <c r="E5" i="100"/>
  <c r="E4" i="100"/>
  <c r="E3" i="100"/>
  <c r="D19" i="100"/>
  <c r="C19" i="100"/>
  <c r="D18" i="100"/>
  <c r="C18" i="100"/>
  <c r="D17" i="100"/>
  <c r="C17" i="100"/>
  <c r="E9" i="100"/>
  <c r="E8" i="100"/>
  <c r="E7" i="100"/>
  <c r="E6" i="100"/>
  <c r="I45" i="99"/>
  <c r="H45" i="99"/>
  <c r="G45" i="99"/>
  <c r="F45" i="99"/>
  <c r="E45" i="99"/>
  <c r="G46" i="99"/>
  <c r="H14" i="3" s="1"/>
  <c r="I36" i="99"/>
  <c r="H36" i="99"/>
  <c r="G36" i="99"/>
  <c r="F36" i="99"/>
  <c r="F46" i="99" s="1"/>
  <c r="G14" i="3" s="1"/>
  <c r="E36" i="99"/>
  <c r="E25" i="99"/>
  <c r="G80" i="100" l="1"/>
  <c r="D79" i="100"/>
  <c r="E78" i="100"/>
  <c r="C82" i="100"/>
  <c r="G43" i="101"/>
  <c r="H43" i="101" s="1"/>
  <c r="G49" i="101"/>
  <c r="H49" i="101" s="1"/>
  <c r="G50" i="101"/>
  <c r="H50" i="101" s="1"/>
  <c r="G53" i="101"/>
  <c r="H53" i="101" s="1"/>
  <c r="G47" i="101"/>
  <c r="H47" i="101" s="1"/>
  <c r="G37" i="101"/>
  <c r="H37" i="101" s="1"/>
  <c r="G38" i="101"/>
  <c r="H38" i="101" s="1"/>
  <c r="G48" i="101"/>
  <c r="H48" i="101" s="1"/>
  <c r="G40" i="101"/>
  <c r="H40" i="101" s="1"/>
  <c r="G41" i="101"/>
  <c r="H41" i="101" s="1"/>
  <c r="G51" i="101"/>
  <c r="H51" i="101" s="1"/>
  <c r="G52" i="101"/>
  <c r="H52" i="101" s="1"/>
  <c r="G44" i="101"/>
  <c r="H44" i="101" s="1"/>
  <c r="G45" i="101"/>
  <c r="H45" i="101" s="1"/>
  <c r="G36" i="101"/>
  <c r="H36" i="101" s="1"/>
  <c r="G39" i="101"/>
  <c r="H39" i="101" s="1"/>
  <c r="G42" i="101"/>
  <c r="H42" i="101" s="1"/>
  <c r="J36" i="101"/>
  <c r="G46" i="101"/>
  <c r="H24" i="101"/>
  <c r="H23" i="101"/>
  <c r="D20" i="100"/>
  <c r="H46" i="99"/>
  <c r="I14" i="3" s="1"/>
  <c r="I46" i="99"/>
  <c r="J14" i="3" s="1"/>
  <c r="E46" i="99"/>
  <c r="F14" i="3" s="1"/>
  <c r="E79" i="100" l="1"/>
  <c r="G81" i="100"/>
  <c r="D80" i="100"/>
  <c r="C83" i="100"/>
  <c r="H46" i="101"/>
  <c r="G54" i="101"/>
  <c r="K36" i="101"/>
  <c r="E80" i="100" l="1"/>
  <c r="C84" i="100"/>
  <c r="D81" i="100"/>
  <c r="G82" i="100"/>
  <c r="H54" i="101"/>
  <c r="D53" i="97"/>
  <c r="E53" i="97"/>
  <c r="F53" i="97"/>
  <c r="G53" i="97"/>
  <c r="H53" i="97"/>
  <c r="I53" i="97"/>
  <c r="J53" i="97"/>
  <c r="K53" i="97"/>
  <c r="L53" i="97"/>
  <c r="M53" i="97"/>
  <c r="N53" i="97"/>
  <c r="O53" i="97"/>
  <c r="P53" i="97"/>
  <c r="Q53" i="97"/>
  <c r="R53" i="97"/>
  <c r="S53" i="97"/>
  <c r="T53" i="97"/>
  <c r="U53" i="97"/>
  <c r="V53" i="97"/>
  <c r="W53" i="97"/>
  <c r="X53" i="97"/>
  <c r="Y53" i="97"/>
  <c r="Z53" i="97"/>
  <c r="AA53" i="97"/>
  <c r="AB53" i="97"/>
  <c r="AC53" i="97"/>
  <c r="AD53" i="97"/>
  <c r="AE53" i="97"/>
  <c r="AF53" i="97"/>
  <c r="AG53" i="97"/>
  <c r="AH53" i="97"/>
  <c r="AI53" i="97"/>
  <c r="AJ53" i="97"/>
  <c r="AK53" i="97"/>
  <c r="AL53" i="97"/>
  <c r="AM53" i="97"/>
  <c r="AN53" i="97"/>
  <c r="AO53" i="97"/>
  <c r="AP53" i="97"/>
  <c r="AQ53" i="97"/>
  <c r="AR53" i="97"/>
  <c r="AS53" i="97"/>
  <c r="AT53" i="97"/>
  <c r="AU53" i="97"/>
  <c r="AV53" i="97"/>
  <c r="AW53" i="97"/>
  <c r="AX53" i="97"/>
  <c r="AY53" i="97"/>
  <c r="AZ53" i="97"/>
  <c r="BA53" i="97"/>
  <c r="BB53" i="97"/>
  <c r="BC53" i="97"/>
  <c r="BD53" i="97"/>
  <c r="BE53" i="97"/>
  <c r="BF53" i="97"/>
  <c r="D54" i="97"/>
  <c r="BH54" i="97" s="1"/>
  <c r="E54" i="97"/>
  <c r="F54" i="97"/>
  <c r="G54" i="97"/>
  <c r="H54" i="97"/>
  <c r="I54" i="97"/>
  <c r="J54" i="97"/>
  <c r="K54" i="97"/>
  <c r="L54" i="97"/>
  <c r="M54" i="97"/>
  <c r="N54" i="97"/>
  <c r="O54" i="97"/>
  <c r="P54" i="97"/>
  <c r="BI54" i="97" s="1"/>
  <c r="Q54" i="97"/>
  <c r="R54" i="97"/>
  <c r="S54" i="97"/>
  <c r="T54" i="97"/>
  <c r="U54" i="97"/>
  <c r="V54" i="97"/>
  <c r="W54" i="97"/>
  <c r="X54" i="97"/>
  <c r="Y54" i="97"/>
  <c r="Z54" i="97"/>
  <c r="AA54" i="97"/>
  <c r="AB54" i="97"/>
  <c r="AC54" i="97"/>
  <c r="AD54" i="97"/>
  <c r="AE54" i="97"/>
  <c r="AF54" i="97"/>
  <c r="AG54" i="97"/>
  <c r="AH54" i="97"/>
  <c r="AI54" i="97"/>
  <c r="AJ54" i="97"/>
  <c r="AK54" i="97"/>
  <c r="AL54" i="97"/>
  <c r="AM54" i="97"/>
  <c r="AN54" i="97"/>
  <c r="AO54" i="97"/>
  <c r="AP54" i="97"/>
  <c r="AQ54" i="97"/>
  <c r="AR54" i="97"/>
  <c r="AS54" i="97"/>
  <c r="AT54" i="97"/>
  <c r="AU54" i="97"/>
  <c r="AV54" i="97"/>
  <c r="AW54" i="97"/>
  <c r="AX54" i="97"/>
  <c r="AY54" i="97"/>
  <c r="AZ54" i="97"/>
  <c r="BA54" i="97"/>
  <c r="BB54" i="97"/>
  <c r="BC54" i="97"/>
  <c r="BD54" i="97"/>
  <c r="BE54" i="97"/>
  <c r="BF54" i="97"/>
  <c r="D55" i="97"/>
  <c r="E55" i="97"/>
  <c r="F55" i="97"/>
  <c r="G55" i="97"/>
  <c r="H55" i="97"/>
  <c r="I55" i="97"/>
  <c r="J55" i="97"/>
  <c r="K55" i="97"/>
  <c r="L55" i="97"/>
  <c r="M55" i="97"/>
  <c r="N55" i="97"/>
  <c r="O55" i="97"/>
  <c r="P55" i="97"/>
  <c r="Q55" i="97"/>
  <c r="R55" i="97"/>
  <c r="S55" i="97"/>
  <c r="T55" i="97"/>
  <c r="U55" i="97"/>
  <c r="V55" i="97"/>
  <c r="W55" i="97"/>
  <c r="X55" i="97"/>
  <c r="Y55" i="97"/>
  <c r="Z55" i="97"/>
  <c r="AA55" i="97"/>
  <c r="AB55" i="97"/>
  <c r="AC55" i="97"/>
  <c r="AD55" i="97"/>
  <c r="AE55" i="97"/>
  <c r="AF55" i="97"/>
  <c r="AG55" i="97"/>
  <c r="AH55" i="97"/>
  <c r="AI55" i="97"/>
  <c r="AJ55" i="97"/>
  <c r="AK55" i="97"/>
  <c r="AL55" i="97"/>
  <c r="AM55" i="97"/>
  <c r="AN55" i="97"/>
  <c r="AO55" i="97"/>
  <c r="AP55" i="97"/>
  <c r="AQ55" i="97"/>
  <c r="AR55" i="97"/>
  <c r="AS55" i="97"/>
  <c r="AT55" i="97"/>
  <c r="AU55" i="97"/>
  <c r="AV55" i="97"/>
  <c r="AW55" i="97"/>
  <c r="AX55" i="97"/>
  <c r="AY55" i="97"/>
  <c r="AZ55" i="97"/>
  <c r="BA55" i="97"/>
  <c r="BB55" i="97"/>
  <c r="BC55" i="97"/>
  <c r="BD55" i="97"/>
  <c r="BE55" i="97"/>
  <c r="BF55" i="97"/>
  <c r="D56" i="97"/>
  <c r="E56" i="97"/>
  <c r="F56" i="97"/>
  <c r="G56" i="97"/>
  <c r="H56" i="97"/>
  <c r="I56" i="97"/>
  <c r="J56" i="97"/>
  <c r="K56" i="97"/>
  <c r="L56" i="97"/>
  <c r="M56" i="97"/>
  <c r="N56" i="97"/>
  <c r="O56" i="97"/>
  <c r="P56" i="97"/>
  <c r="Q56" i="97"/>
  <c r="R56" i="97"/>
  <c r="S56" i="97"/>
  <c r="T56" i="97"/>
  <c r="U56" i="97"/>
  <c r="V56" i="97"/>
  <c r="W56" i="97"/>
  <c r="X56" i="97"/>
  <c r="Y56" i="97"/>
  <c r="Z56" i="97"/>
  <c r="AA56" i="97"/>
  <c r="AB56" i="97"/>
  <c r="AC56" i="97"/>
  <c r="AD56" i="97"/>
  <c r="AE56" i="97"/>
  <c r="AF56" i="97"/>
  <c r="AG56" i="97"/>
  <c r="AH56" i="97"/>
  <c r="AI56" i="97"/>
  <c r="AJ56" i="97"/>
  <c r="AK56" i="97"/>
  <c r="AL56" i="97"/>
  <c r="AM56" i="97"/>
  <c r="AN56" i="97"/>
  <c r="AO56" i="97"/>
  <c r="AP56" i="97"/>
  <c r="AQ56" i="97"/>
  <c r="AR56" i="97"/>
  <c r="AS56" i="97"/>
  <c r="AT56" i="97"/>
  <c r="AU56" i="97"/>
  <c r="AV56" i="97"/>
  <c r="AW56" i="97"/>
  <c r="AX56" i="97"/>
  <c r="AY56" i="97"/>
  <c r="AZ56" i="97"/>
  <c r="BA56" i="97"/>
  <c r="BB56" i="97"/>
  <c r="BC56" i="97"/>
  <c r="BD56" i="97"/>
  <c r="BE56" i="97"/>
  <c r="BF56" i="97"/>
  <c r="D57" i="97"/>
  <c r="E57" i="97"/>
  <c r="F57" i="97"/>
  <c r="G57" i="97"/>
  <c r="H57" i="97"/>
  <c r="I57" i="97"/>
  <c r="J57" i="97"/>
  <c r="K57" i="97"/>
  <c r="L57" i="97"/>
  <c r="M57" i="97"/>
  <c r="N57" i="97"/>
  <c r="O57" i="97"/>
  <c r="P57" i="97"/>
  <c r="Q57" i="97"/>
  <c r="R57" i="97"/>
  <c r="S57" i="97"/>
  <c r="T57" i="97"/>
  <c r="U57" i="97"/>
  <c r="V57" i="97"/>
  <c r="W57" i="97"/>
  <c r="X57" i="97"/>
  <c r="Y57" i="97"/>
  <c r="Z57" i="97"/>
  <c r="AA57" i="97"/>
  <c r="AB57" i="97"/>
  <c r="AC57" i="97"/>
  <c r="AD57" i="97"/>
  <c r="AE57" i="97"/>
  <c r="AF57" i="97"/>
  <c r="AG57" i="97"/>
  <c r="AH57" i="97"/>
  <c r="AI57" i="97"/>
  <c r="AJ57" i="97"/>
  <c r="AK57" i="97"/>
  <c r="AL57" i="97"/>
  <c r="AM57" i="97"/>
  <c r="AN57" i="97"/>
  <c r="AO57" i="97"/>
  <c r="AP57" i="97"/>
  <c r="AQ57" i="97"/>
  <c r="AR57" i="97"/>
  <c r="AS57" i="97"/>
  <c r="AT57" i="97"/>
  <c r="AU57" i="97"/>
  <c r="AV57" i="97"/>
  <c r="AW57" i="97"/>
  <c r="AX57" i="97"/>
  <c r="AY57" i="97"/>
  <c r="AZ57" i="97"/>
  <c r="BA57" i="97"/>
  <c r="BB57" i="97"/>
  <c r="BC57" i="97"/>
  <c r="BD57" i="97"/>
  <c r="BE57" i="97"/>
  <c r="BF57" i="97"/>
  <c r="D58" i="97"/>
  <c r="E58" i="97"/>
  <c r="F58" i="97"/>
  <c r="G58" i="97"/>
  <c r="H58" i="97"/>
  <c r="I58" i="97"/>
  <c r="J58" i="97"/>
  <c r="K58" i="97"/>
  <c r="L58" i="97"/>
  <c r="M58" i="97"/>
  <c r="N58" i="97"/>
  <c r="O58" i="97"/>
  <c r="P58" i="97"/>
  <c r="Q58" i="97"/>
  <c r="R58" i="97"/>
  <c r="S58" i="97"/>
  <c r="T58" i="97"/>
  <c r="U58" i="97"/>
  <c r="V58" i="97"/>
  <c r="W58" i="97"/>
  <c r="X58" i="97"/>
  <c r="Y58" i="97"/>
  <c r="Z58" i="97"/>
  <c r="AA58" i="97"/>
  <c r="AB58" i="97"/>
  <c r="AC58" i="97"/>
  <c r="AD58" i="97"/>
  <c r="AE58" i="97"/>
  <c r="AF58" i="97"/>
  <c r="AG58" i="97"/>
  <c r="AH58" i="97"/>
  <c r="AI58" i="97"/>
  <c r="AJ58" i="97"/>
  <c r="AK58" i="97"/>
  <c r="AL58" i="97"/>
  <c r="AM58" i="97"/>
  <c r="AN58" i="97"/>
  <c r="AO58" i="97"/>
  <c r="AP58" i="97"/>
  <c r="AQ58" i="97"/>
  <c r="AR58" i="97"/>
  <c r="AS58" i="97"/>
  <c r="AT58" i="97"/>
  <c r="AU58" i="97"/>
  <c r="AV58" i="97"/>
  <c r="AW58" i="97"/>
  <c r="AX58" i="97"/>
  <c r="AY58" i="97"/>
  <c r="AZ58" i="97"/>
  <c r="BA58" i="97"/>
  <c r="BB58" i="97"/>
  <c r="BC58" i="97"/>
  <c r="BD58" i="97"/>
  <c r="BE58" i="97"/>
  <c r="BF58" i="97"/>
  <c r="D59" i="97"/>
  <c r="E59" i="97"/>
  <c r="F59" i="97"/>
  <c r="G59" i="97"/>
  <c r="H59" i="97"/>
  <c r="I59" i="97"/>
  <c r="J59" i="97"/>
  <c r="K59" i="97"/>
  <c r="L59" i="97"/>
  <c r="M59" i="97"/>
  <c r="N59" i="97"/>
  <c r="O59" i="97"/>
  <c r="P59" i="97"/>
  <c r="Q59" i="97"/>
  <c r="R59" i="97"/>
  <c r="S59" i="97"/>
  <c r="T59" i="97"/>
  <c r="U59" i="97"/>
  <c r="V59" i="97"/>
  <c r="W59" i="97"/>
  <c r="X59" i="97"/>
  <c r="Y59" i="97"/>
  <c r="Z59" i="97"/>
  <c r="AA59" i="97"/>
  <c r="AB59" i="97"/>
  <c r="AC59" i="97"/>
  <c r="AD59" i="97"/>
  <c r="AE59" i="97"/>
  <c r="AF59" i="97"/>
  <c r="AG59" i="97"/>
  <c r="AH59" i="97"/>
  <c r="AI59" i="97"/>
  <c r="AJ59" i="97"/>
  <c r="AK59" i="97"/>
  <c r="AL59" i="97"/>
  <c r="AM59" i="97"/>
  <c r="AN59" i="97"/>
  <c r="AO59" i="97"/>
  <c r="AP59" i="97"/>
  <c r="AQ59" i="97"/>
  <c r="AR59" i="97"/>
  <c r="AS59" i="97"/>
  <c r="AT59" i="97"/>
  <c r="AU59" i="97"/>
  <c r="AV59" i="97"/>
  <c r="AW59" i="97"/>
  <c r="AX59" i="97"/>
  <c r="AY59" i="97"/>
  <c r="AZ59" i="97"/>
  <c r="BA59" i="97"/>
  <c r="BB59" i="97"/>
  <c r="BC59" i="97"/>
  <c r="BD59" i="97"/>
  <c r="BE59" i="97"/>
  <c r="BF59" i="97"/>
  <c r="D60" i="97"/>
  <c r="E60" i="97"/>
  <c r="F60" i="97"/>
  <c r="G60" i="97"/>
  <c r="H60" i="97"/>
  <c r="I60" i="97"/>
  <c r="J60" i="97"/>
  <c r="K60" i="97"/>
  <c r="L60" i="97"/>
  <c r="M60" i="97"/>
  <c r="N60" i="97"/>
  <c r="O60" i="97"/>
  <c r="P60" i="97"/>
  <c r="Q60" i="97"/>
  <c r="R60" i="97"/>
  <c r="S60" i="97"/>
  <c r="T60" i="97"/>
  <c r="U60" i="97"/>
  <c r="V60" i="97"/>
  <c r="W60" i="97"/>
  <c r="X60" i="97"/>
  <c r="Y60" i="97"/>
  <c r="Z60" i="97"/>
  <c r="AA60" i="97"/>
  <c r="AB60" i="97"/>
  <c r="AC60" i="97"/>
  <c r="AD60" i="97"/>
  <c r="AE60" i="97"/>
  <c r="AF60" i="97"/>
  <c r="AG60" i="97"/>
  <c r="AH60" i="97"/>
  <c r="AI60" i="97"/>
  <c r="AJ60" i="97"/>
  <c r="AK60" i="97"/>
  <c r="AL60" i="97"/>
  <c r="AM60" i="97"/>
  <c r="AN60" i="97"/>
  <c r="AO60" i="97"/>
  <c r="AP60" i="97"/>
  <c r="AQ60" i="97"/>
  <c r="AR60" i="97"/>
  <c r="AS60" i="97"/>
  <c r="AT60" i="97"/>
  <c r="AU60" i="97"/>
  <c r="AV60" i="97"/>
  <c r="AW60" i="97"/>
  <c r="AX60" i="97"/>
  <c r="AY60" i="97"/>
  <c r="AZ60" i="97"/>
  <c r="BA60" i="97"/>
  <c r="BB60" i="97"/>
  <c r="BC60" i="97"/>
  <c r="BD60" i="97"/>
  <c r="BE60" i="97"/>
  <c r="BF60" i="97"/>
  <c r="D61" i="97"/>
  <c r="E61" i="97"/>
  <c r="F61" i="97"/>
  <c r="G61" i="97"/>
  <c r="H61" i="97"/>
  <c r="I61" i="97"/>
  <c r="J61" i="97"/>
  <c r="K61" i="97"/>
  <c r="L61" i="97"/>
  <c r="M61" i="97"/>
  <c r="N61" i="97"/>
  <c r="O61" i="97"/>
  <c r="P61" i="97"/>
  <c r="Q61" i="97"/>
  <c r="R61" i="97"/>
  <c r="S61" i="97"/>
  <c r="T61" i="97"/>
  <c r="U61" i="97"/>
  <c r="V61" i="97"/>
  <c r="W61" i="97"/>
  <c r="X61" i="97"/>
  <c r="Y61" i="97"/>
  <c r="Z61" i="97"/>
  <c r="AA61" i="97"/>
  <c r="AB61" i="97"/>
  <c r="AC61" i="97"/>
  <c r="AD61" i="97"/>
  <c r="AE61" i="97"/>
  <c r="AF61" i="97"/>
  <c r="AG61" i="97"/>
  <c r="AH61" i="97"/>
  <c r="AI61" i="97"/>
  <c r="AJ61" i="97"/>
  <c r="AK61" i="97"/>
  <c r="AL61" i="97"/>
  <c r="AM61" i="97"/>
  <c r="AN61" i="97"/>
  <c r="AO61" i="97"/>
  <c r="AP61" i="97"/>
  <c r="AQ61" i="97"/>
  <c r="AR61" i="97"/>
  <c r="AS61" i="97"/>
  <c r="AT61" i="97"/>
  <c r="AU61" i="97"/>
  <c r="AV61" i="97"/>
  <c r="AW61" i="97"/>
  <c r="AX61" i="97"/>
  <c r="AY61" i="97"/>
  <c r="AZ61" i="97"/>
  <c r="BA61" i="97"/>
  <c r="BB61" i="97"/>
  <c r="BC61" i="97"/>
  <c r="BD61" i="97"/>
  <c r="BE61" i="97"/>
  <c r="BF61" i="97"/>
  <c r="D62" i="97"/>
  <c r="E62" i="97"/>
  <c r="F62" i="97"/>
  <c r="G62" i="97"/>
  <c r="H62" i="97"/>
  <c r="I62" i="97"/>
  <c r="J62" i="97"/>
  <c r="C14" i="98" s="1"/>
  <c r="K62" i="97"/>
  <c r="L62" i="97"/>
  <c r="M62" i="97"/>
  <c r="N62" i="97"/>
  <c r="O62" i="97"/>
  <c r="P62" i="97"/>
  <c r="Q62" i="97"/>
  <c r="R62" i="97"/>
  <c r="S62" i="97"/>
  <c r="T62" i="97"/>
  <c r="U62" i="97"/>
  <c r="V62" i="97"/>
  <c r="W62" i="97"/>
  <c r="X62" i="97"/>
  <c r="Y62" i="97"/>
  <c r="Z62" i="97"/>
  <c r="AA62" i="97"/>
  <c r="AB62" i="97"/>
  <c r="AC62" i="97"/>
  <c r="AD62" i="97"/>
  <c r="AE62" i="97"/>
  <c r="AF62" i="97"/>
  <c r="AG62" i="97"/>
  <c r="AH62" i="97"/>
  <c r="AI62" i="97"/>
  <c r="AJ62" i="97"/>
  <c r="AK62" i="97"/>
  <c r="AL62" i="97"/>
  <c r="AM62" i="97"/>
  <c r="AN62" i="97"/>
  <c r="AO62" i="97"/>
  <c r="AP62" i="97"/>
  <c r="AQ62" i="97"/>
  <c r="AR62" i="97"/>
  <c r="AS62" i="97"/>
  <c r="AT62" i="97"/>
  <c r="AU62" i="97"/>
  <c r="AV62" i="97"/>
  <c r="AW62" i="97"/>
  <c r="AX62" i="97"/>
  <c r="AY62" i="97"/>
  <c r="AZ62" i="97"/>
  <c r="BA62" i="97"/>
  <c r="BB62" i="97"/>
  <c r="BC62" i="97"/>
  <c r="BD62" i="97"/>
  <c r="BE62" i="97"/>
  <c r="BF62" i="97"/>
  <c r="D63" i="97"/>
  <c r="E63" i="97"/>
  <c r="F63" i="97"/>
  <c r="G63" i="97"/>
  <c r="H63" i="97"/>
  <c r="I63" i="97"/>
  <c r="J63" i="97"/>
  <c r="K63" i="97"/>
  <c r="L63" i="97"/>
  <c r="M63" i="97"/>
  <c r="N63" i="97"/>
  <c r="O63" i="97"/>
  <c r="P63" i="97"/>
  <c r="Q63" i="97"/>
  <c r="R63" i="97"/>
  <c r="S63" i="97"/>
  <c r="T63" i="97"/>
  <c r="U63" i="97"/>
  <c r="V63" i="97"/>
  <c r="W63" i="97"/>
  <c r="X63" i="97"/>
  <c r="Y63" i="97"/>
  <c r="Z63" i="97"/>
  <c r="AA63" i="97"/>
  <c r="AB63" i="97"/>
  <c r="AC63" i="97"/>
  <c r="AD63" i="97"/>
  <c r="AE63" i="97"/>
  <c r="AF63" i="97"/>
  <c r="AG63" i="97"/>
  <c r="AH63" i="97"/>
  <c r="AI63" i="97"/>
  <c r="AJ63" i="97"/>
  <c r="AK63" i="97"/>
  <c r="AL63" i="97"/>
  <c r="AM63" i="97"/>
  <c r="AN63" i="97"/>
  <c r="AO63" i="97"/>
  <c r="AP63" i="97"/>
  <c r="AQ63" i="97"/>
  <c r="AR63" i="97"/>
  <c r="AS63" i="97"/>
  <c r="AT63" i="97"/>
  <c r="AU63" i="97"/>
  <c r="AV63" i="97"/>
  <c r="AW63" i="97"/>
  <c r="AX63" i="97"/>
  <c r="AY63" i="97"/>
  <c r="AZ63" i="97"/>
  <c r="BA63" i="97"/>
  <c r="BB63" i="97"/>
  <c r="BC63" i="97"/>
  <c r="BD63" i="97"/>
  <c r="BE63" i="97"/>
  <c r="BF63" i="97"/>
  <c r="D64" i="97"/>
  <c r="E64" i="97"/>
  <c r="F64" i="97"/>
  <c r="G64" i="97"/>
  <c r="H64" i="97"/>
  <c r="I64" i="97"/>
  <c r="J64" i="97"/>
  <c r="K64" i="97"/>
  <c r="L64" i="97"/>
  <c r="M64" i="97"/>
  <c r="N64" i="97"/>
  <c r="O64" i="97"/>
  <c r="P64" i="97"/>
  <c r="Q64" i="97"/>
  <c r="R64" i="97"/>
  <c r="S64" i="97"/>
  <c r="T64" i="97"/>
  <c r="U64" i="97"/>
  <c r="V64" i="97"/>
  <c r="W64" i="97"/>
  <c r="X64" i="97"/>
  <c r="Y64" i="97"/>
  <c r="Z64" i="97"/>
  <c r="AA64" i="97"/>
  <c r="AB64" i="97"/>
  <c r="AC64" i="97"/>
  <c r="AD64" i="97"/>
  <c r="AE64" i="97"/>
  <c r="AF64" i="97"/>
  <c r="AG64" i="97"/>
  <c r="AH64" i="97"/>
  <c r="AI64" i="97"/>
  <c r="AJ64" i="97"/>
  <c r="AK64" i="97"/>
  <c r="AL64" i="97"/>
  <c r="AM64" i="97"/>
  <c r="AN64" i="97"/>
  <c r="AO64" i="97"/>
  <c r="AP64" i="97"/>
  <c r="AQ64" i="97"/>
  <c r="AR64" i="97"/>
  <c r="AS64" i="97"/>
  <c r="AT64" i="97"/>
  <c r="AU64" i="97"/>
  <c r="AV64" i="97"/>
  <c r="AW64" i="97"/>
  <c r="AX64" i="97"/>
  <c r="AY64" i="97"/>
  <c r="AZ64" i="97"/>
  <c r="BA64" i="97"/>
  <c r="BB64" i="97"/>
  <c r="BC64" i="97"/>
  <c r="BD64" i="97"/>
  <c r="BE64" i="97"/>
  <c r="BF64" i="97"/>
  <c r="D65" i="97"/>
  <c r="E65" i="97"/>
  <c r="F65" i="97"/>
  <c r="G65" i="97"/>
  <c r="H65" i="97"/>
  <c r="I65" i="97"/>
  <c r="J65" i="97"/>
  <c r="K65" i="97"/>
  <c r="L65" i="97"/>
  <c r="M65" i="97"/>
  <c r="N65" i="97"/>
  <c r="O65" i="97"/>
  <c r="P65" i="97"/>
  <c r="Q65" i="97"/>
  <c r="R65" i="97"/>
  <c r="S65" i="97"/>
  <c r="T65" i="97"/>
  <c r="U65" i="97"/>
  <c r="V65" i="97"/>
  <c r="W65" i="97"/>
  <c r="X65" i="97"/>
  <c r="Y65" i="97"/>
  <c r="Z65" i="97"/>
  <c r="AA65" i="97"/>
  <c r="AB65" i="97"/>
  <c r="AC65" i="97"/>
  <c r="AD65" i="97"/>
  <c r="AE65" i="97"/>
  <c r="AF65" i="97"/>
  <c r="AG65" i="97"/>
  <c r="AH65" i="97"/>
  <c r="AI65" i="97"/>
  <c r="AJ65" i="97"/>
  <c r="AK65" i="97"/>
  <c r="AL65" i="97"/>
  <c r="AM65" i="97"/>
  <c r="AN65" i="97"/>
  <c r="AO65" i="97"/>
  <c r="AP65" i="97"/>
  <c r="AQ65" i="97"/>
  <c r="AR65" i="97"/>
  <c r="AS65" i="97"/>
  <c r="AT65" i="97"/>
  <c r="AU65" i="97"/>
  <c r="AV65" i="97"/>
  <c r="AW65" i="97"/>
  <c r="AX65" i="97"/>
  <c r="AY65" i="97"/>
  <c r="AZ65" i="97"/>
  <c r="BA65" i="97"/>
  <c r="BB65" i="97"/>
  <c r="BC65" i="97"/>
  <c r="BD65" i="97"/>
  <c r="BE65" i="97"/>
  <c r="BF65" i="97"/>
  <c r="D66" i="97"/>
  <c r="BH66" i="97" s="1"/>
  <c r="E66" i="97"/>
  <c r="F66" i="97"/>
  <c r="G66" i="97"/>
  <c r="H66" i="97"/>
  <c r="C18" i="98" s="1"/>
  <c r="I66" i="97"/>
  <c r="J66" i="97"/>
  <c r="K66" i="97"/>
  <c r="L66" i="97"/>
  <c r="M66" i="97"/>
  <c r="N66" i="97"/>
  <c r="O66" i="97"/>
  <c r="P66" i="97"/>
  <c r="BI66" i="97" s="1"/>
  <c r="Q66" i="97"/>
  <c r="R66" i="97"/>
  <c r="S66" i="97"/>
  <c r="T66" i="97"/>
  <c r="U66" i="97"/>
  <c r="V66" i="97"/>
  <c r="W66" i="97"/>
  <c r="X66" i="97"/>
  <c r="Y66" i="97"/>
  <c r="Z66" i="97"/>
  <c r="AA66" i="97"/>
  <c r="AB66" i="97"/>
  <c r="AC66" i="97"/>
  <c r="AD66" i="97"/>
  <c r="AE66" i="97"/>
  <c r="AF66" i="97"/>
  <c r="AG66" i="97"/>
  <c r="AH66" i="97"/>
  <c r="AI66" i="97"/>
  <c r="AJ66" i="97"/>
  <c r="AK66" i="97"/>
  <c r="AL66" i="97"/>
  <c r="AM66" i="97"/>
  <c r="AN66" i="97"/>
  <c r="AO66" i="97"/>
  <c r="AP66" i="97"/>
  <c r="AQ66" i="97"/>
  <c r="AR66" i="97"/>
  <c r="AS66" i="97"/>
  <c r="AT66" i="97"/>
  <c r="AU66" i="97"/>
  <c r="AV66" i="97"/>
  <c r="AW66" i="97"/>
  <c r="AX66" i="97"/>
  <c r="AY66" i="97"/>
  <c r="AZ66" i="97"/>
  <c r="BA66" i="97"/>
  <c r="BB66" i="97"/>
  <c r="BC66" i="97"/>
  <c r="BD66" i="97"/>
  <c r="BE66" i="97"/>
  <c r="BF66" i="97"/>
  <c r="D67" i="97"/>
  <c r="E67" i="97"/>
  <c r="F67" i="97"/>
  <c r="G67" i="97"/>
  <c r="H67" i="97"/>
  <c r="I67" i="97"/>
  <c r="J67" i="97"/>
  <c r="K67" i="97"/>
  <c r="L67" i="97"/>
  <c r="M67" i="97"/>
  <c r="N67" i="97"/>
  <c r="O67" i="97"/>
  <c r="P67" i="97"/>
  <c r="Q67" i="97"/>
  <c r="R67" i="97"/>
  <c r="S67" i="97"/>
  <c r="T67" i="97"/>
  <c r="U67" i="97"/>
  <c r="V67" i="97"/>
  <c r="W67" i="97"/>
  <c r="X67" i="97"/>
  <c r="Y67" i="97"/>
  <c r="Z67" i="97"/>
  <c r="AA67" i="97"/>
  <c r="AB67" i="97"/>
  <c r="AC67" i="97"/>
  <c r="AD67" i="97"/>
  <c r="AE67" i="97"/>
  <c r="AF67" i="97"/>
  <c r="AG67" i="97"/>
  <c r="AH67" i="97"/>
  <c r="AI67" i="97"/>
  <c r="AJ67" i="97"/>
  <c r="AK67" i="97"/>
  <c r="AL67" i="97"/>
  <c r="AM67" i="97"/>
  <c r="AN67" i="97"/>
  <c r="AO67" i="97"/>
  <c r="AP67" i="97"/>
  <c r="AQ67" i="97"/>
  <c r="AR67" i="97"/>
  <c r="AS67" i="97"/>
  <c r="AT67" i="97"/>
  <c r="AU67" i="97"/>
  <c r="AV67" i="97"/>
  <c r="AW67" i="97"/>
  <c r="AX67" i="97"/>
  <c r="AY67" i="97"/>
  <c r="AZ67" i="97"/>
  <c r="BA67" i="97"/>
  <c r="BB67" i="97"/>
  <c r="BC67" i="97"/>
  <c r="BD67" i="97"/>
  <c r="BE67" i="97"/>
  <c r="BF67" i="97"/>
  <c r="D68" i="97"/>
  <c r="E68" i="97"/>
  <c r="F68" i="97"/>
  <c r="G68" i="97"/>
  <c r="H68" i="97"/>
  <c r="I68" i="97"/>
  <c r="J68" i="97"/>
  <c r="K68" i="97"/>
  <c r="L68" i="97"/>
  <c r="M68" i="97"/>
  <c r="N68" i="97"/>
  <c r="O68" i="97"/>
  <c r="P68" i="97"/>
  <c r="Q68" i="97"/>
  <c r="R68" i="97"/>
  <c r="S68" i="97"/>
  <c r="T68" i="97"/>
  <c r="U68" i="97"/>
  <c r="V68" i="97"/>
  <c r="W68" i="97"/>
  <c r="X68" i="97"/>
  <c r="Y68" i="97"/>
  <c r="Z68" i="97"/>
  <c r="AA68" i="97"/>
  <c r="AB68" i="97"/>
  <c r="AC68" i="97"/>
  <c r="AD68" i="97"/>
  <c r="AE68" i="97"/>
  <c r="AF68" i="97"/>
  <c r="AG68" i="97"/>
  <c r="AH68" i="97"/>
  <c r="AI68" i="97"/>
  <c r="AJ68" i="97"/>
  <c r="AK68" i="97"/>
  <c r="AL68" i="97"/>
  <c r="AM68" i="97"/>
  <c r="AN68" i="97"/>
  <c r="AO68" i="97"/>
  <c r="AP68" i="97"/>
  <c r="AQ68" i="97"/>
  <c r="AR68" i="97"/>
  <c r="AS68" i="97"/>
  <c r="AT68" i="97"/>
  <c r="AU68" i="97"/>
  <c r="AV68" i="97"/>
  <c r="AW68" i="97"/>
  <c r="AX68" i="97"/>
  <c r="AY68" i="97"/>
  <c r="AZ68" i="97"/>
  <c r="BA68" i="97"/>
  <c r="BB68" i="97"/>
  <c r="BC68" i="97"/>
  <c r="BD68" i="97"/>
  <c r="BE68" i="97"/>
  <c r="BF68" i="97"/>
  <c r="D69" i="97"/>
  <c r="E69" i="97"/>
  <c r="F69" i="97"/>
  <c r="G69" i="97"/>
  <c r="H69" i="97"/>
  <c r="I69" i="97"/>
  <c r="J69" i="97"/>
  <c r="K69" i="97"/>
  <c r="L69" i="97"/>
  <c r="M69" i="97"/>
  <c r="N69" i="97"/>
  <c r="O69" i="97"/>
  <c r="P69" i="97"/>
  <c r="Q69" i="97"/>
  <c r="R69" i="97"/>
  <c r="S69" i="97"/>
  <c r="T69" i="97"/>
  <c r="U69" i="97"/>
  <c r="V69" i="97"/>
  <c r="W69" i="97"/>
  <c r="X69" i="97"/>
  <c r="Y69" i="97"/>
  <c r="Z69" i="97"/>
  <c r="AA69" i="97"/>
  <c r="AB69" i="97"/>
  <c r="AC69" i="97"/>
  <c r="AD69" i="97"/>
  <c r="AE69" i="97"/>
  <c r="AF69" i="97"/>
  <c r="AG69" i="97"/>
  <c r="AH69" i="97"/>
  <c r="AI69" i="97"/>
  <c r="AJ69" i="97"/>
  <c r="AK69" i="97"/>
  <c r="AL69" i="97"/>
  <c r="AM69" i="97"/>
  <c r="AN69" i="97"/>
  <c r="AO69" i="97"/>
  <c r="AP69" i="97"/>
  <c r="AQ69" i="97"/>
  <c r="AR69" i="97"/>
  <c r="AS69" i="97"/>
  <c r="AT69" i="97"/>
  <c r="AU69" i="97"/>
  <c r="AV69" i="97"/>
  <c r="AW69" i="97"/>
  <c r="AX69" i="97"/>
  <c r="AY69" i="97"/>
  <c r="AZ69" i="97"/>
  <c r="BA69" i="97"/>
  <c r="BB69" i="97"/>
  <c r="BC69" i="97"/>
  <c r="BD69" i="97"/>
  <c r="BE69" i="97"/>
  <c r="BF69" i="97"/>
  <c r="AL52" i="97"/>
  <c r="AM52" i="97"/>
  <c r="AN52" i="97"/>
  <c r="AO52" i="97"/>
  <c r="AP52" i="97"/>
  <c r="AQ52" i="97"/>
  <c r="AR52" i="97"/>
  <c r="AS52" i="97"/>
  <c r="AT52" i="97"/>
  <c r="AT70" i="97" s="1"/>
  <c r="AU52" i="97"/>
  <c r="AV52" i="97"/>
  <c r="AW52" i="97"/>
  <c r="AX52" i="97"/>
  <c r="AY52" i="97"/>
  <c r="AZ52" i="97"/>
  <c r="BA52" i="97"/>
  <c r="BB52" i="97"/>
  <c r="BC52" i="97"/>
  <c r="BD52" i="97"/>
  <c r="BE52" i="97"/>
  <c r="BF52" i="97"/>
  <c r="BF70" i="97" s="1"/>
  <c r="E52" i="97"/>
  <c r="F52" i="97"/>
  <c r="G52" i="97"/>
  <c r="H52" i="97"/>
  <c r="I52" i="97"/>
  <c r="J52" i="97"/>
  <c r="K52" i="97"/>
  <c r="L52" i="97"/>
  <c r="M52" i="97"/>
  <c r="N52" i="97"/>
  <c r="O52" i="97"/>
  <c r="P52" i="97"/>
  <c r="Q52" i="97"/>
  <c r="R52" i="97"/>
  <c r="S52" i="97"/>
  <c r="T52" i="97"/>
  <c r="U52" i="97"/>
  <c r="V52" i="97"/>
  <c r="W52" i="97"/>
  <c r="X52" i="97"/>
  <c r="Y52" i="97"/>
  <c r="Z52" i="97"/>
  <c r="AA52" i="97"/>
  <c r="AB52" i="97"/>
  <c r="BJ52" i="97" s="1"/>
  <c r="AC52" i="97"/>
  <c r="AD52" i="97"/>
  <c r="AE52" i="97"/>
  <c r="AF52" i="97"/>
  <c r="AG52" i="97"/>
  <c r="AH52" i="97"/>
  <c r="AI52" i="97"/>
  <c r="AJ52" i="97"/>
  <c r="AK52" i="97"/>
  <c r="D52" i="97"/>
  <c r="C22" i="98"/>
  <c r="Q9" i="98"/>
  <c r="Q11" i="98"/>
  <c r="Q21" i="98"/>
  <c r="Q22" i="98"/>
  <c r="Q4" i="98"/>
  <c r="K5" i="98"/>
  <c r="L5" i="98"/>
  <c r="M5" i="98"/>
  <c r="N5" i="98"/>
  <c r="O5" i="98"/>
  <c r="K6" i="98"/>
  <c r="L6" i="98"/>
  <c r="M6" i="98"/>
  <c r="N6" i="98"/>
  <c r="O6" i="98"/>
  <c r="K7" i="98"/>
  <c r="L7" i="98"/>
  <c r="M7" i="98"/>
  <c r="N7" i="98"/>
  <c r="O7" i="98"/>
  <c r="K8" i="98"/>
  <c r="L8" i="98"/>
  <c r="M8" i="98"/>
  <c r="N8" i="98"/>
  <c r="O8" i="98"/>
  <c r="K9" i="98"/>
  <c r="L9" i="98"/>
  <c r="M9" i="98"/>
  <c r="N9" i="98"/>
  <c r="O9" i="98"/>
  <c r="K10" i="98"/>
  <c r="L10" i="98"/>
  <c r="M10" i="98"/>
  <c r="N10" i="98"/>
  <c r="O10" i="98"/>
  <c r="K11" i="98"/>
  <c r="L11" i="98"/>
  <c r="M11" i="98"/>
  <c r="N11" i="98"/>
  <c r="O11" i="98"/>
  <c r="K12" i="98"/>
  <c r="L12" i="98"/>
  <c r="M12" i="98"/>
  <c r="N12" i="98"/>
  <c r="O12" i="98"/>
  <c r="K13" i="98"/>
  <c r="L13" i="98"/>
  <c r="M13" i="98"/>
  <c r="N13" i="98"/>
  <c r="O13" i="98"/>
  <c r="K14" i="98"/>
  <c r="L14" i="98"/>
  <c r="M14" i="98"/>
  <c r="N14" i="98"/>
  <c r="O14" i="98"/>
  <c r="K15" i="98"/>
  <c r="L15" i="98"/>
  <c r="M15" i="98"/>
  <c r="N15" i="98"/>
  <c r="O15" i="98"/>
  <c r="K16" i="98"/>
  <c r="L16" i="98"/>
  <c r="M16" i="98"/>
  <c r="N16" i="98"/>
  <c r="O16" i="98"/>
  <c r="K17" i="98"/>
  <c r="L17" i="98"/>
  <c r="M17" i="98"/>
  <c r="N17" i="98"/>
  <c r="O17" i="98"/>
  <c r="K18" i="98"/>
  <c r="L18" i="98"/>
  <c r="M18" i="98"/>
  <c r="N18" i="98"/>
  <c r="O18" i="98"/>
  <c r="K19" i="98"/>
  <c r="L19" i="98"/>
  <c r="M19" i="98"/>
  <c r="N19" i="98"/>
  <c r="O19" i="98"/>
  <c r="K20" i="98"/>
  <c r="L20" i="98"/>
  <c r="M20" i="98"/>
  <c r="N20" i="98"/>
  <c r="O20" i="98"/>
  <c r="K21" i="98"/>
  <c r="L21" i="98"/>
  <c r="M21" i="98"/>
  <c r="N21" i="98"/>
  <c r="O21" i="98"/>
  <c r="K22" i="98"/>
  <c r="L22" i="98"/>
  <c r="M22" i="98"/>
  <c r="N22" i="98"/>
  <c r="O22" i="98"/>
  <c r="M4" i="98"/>
  <c r="N4" i="98"/>
  <c r="O4" i="98"/>
  <c r="L4" i="98"/>
  <c r="K4" i="98"/>
  <c r="C5" i="98"/>
  <c r="C17" i="98"/>
  <c r="K3" i="99"/>
  <c r="K4" i="99"/>
  <c r="Q5" i="98" s="1"/>
  <c r="K5" i="99"/>
  <c r="Q6" i="98" s="1"/>
  <c r="K6" i="99"/>
  <c r="Q7" i="98" s="1"/>
  <c r="K7" i="99"/>
  <c r="Q8" i="98" s="1"/>
  <c r="K8" i="99"/>
  <c r="K9" i="99"/>
  <c r="Q10" i="98" s="1"/>
  <c r="K10" i="99"/>
  <c r="K11" i="99"/>
  <c r="Q12" i="98" s="1"/>
  <c r="K12" i="99"/>
  <c r="Q13" i="98" s="1"/>
  <c r="K13" i="99"/>
  <c r="Q14" i="98" s="1"/>
  <c r="K14" i="99"/>
  <c r="Q15" i="98" s="1"/>
  <c r="K15" i="99"/>
  <c r="Q16" i="98" s="1"/>
  <c r="K16" i="99"/>
  <c r="Q17" i="98" s="1"/>
  <c r="K17" i="99"/>
  <c r="Q18" i="98" s="1"/>
  <c r="K18" i="99"/>
  <c r="Q19" i="98" s="1"/>
  <c r="K19" i="99"/>
  <c r="Q20" i="98" s="1"/>
  <c r="K20" i="99"/>
  <c r="O20" i="96"/>
  <c r="O19" i="96"/>
  <c r="O18" i="96"/>
  <c r="O16" i="96"/>
  <c r="O15" i="96"/>
  <c r="O14" i="96"/>
  <c r="O13" i="96"/>
  <c r="O12" i="96"/>
  <c r="O11" i="96"/>
  <c r="O10" i="96"/>
  <c r="O9" i="96"/>
  <c r="O8" i="96"/>
  <c r="O7" i="96"/>
  <c r="O6" i="96"/>
  <c r="O5" i="96"/>
  <c r="O4" i="96"/>
  <c r="C85" i="100" l="1"/>
  <c r="H84" i="100"/>
  <c r="G83" i="100"/>
  <c r="D82" i="100"/>
  <c r="E81" i="100"/>
  <c r="BI52" i="97"/>
  <c r="BC70" i="97"/>
  <c r="AI70" i="97"/>
  <c r="BE70" i="97"/>
  <c r="AW70" i="97"/>
  <c r="BK63" i="97"/>
  <c r="BJ63" i="97"/>
  <c r="BI63" i="97"/>
  <c r="AV70" i="97"/>
  <c r="BK68" i="97"/>
  <c r="BJ68" i="97"/>
  <c r="BI68" i="97"/>
  <c r="BH68" i="97"/>
  <c r="BK56" i="97"/>
  <c r="BJ56" i="97"/>
  <c r="BI56" i="97"/>
  <c r="D8" i="98" s="1"/>
  <c r="BH56" i="97"/>
  <c r="AC70" i="97"/>
  <c r="Q70" i="97"/>
  <c r="E70" i="97"/>
  <c r="AU70" i="97"/>
  <c r="BK61" i="97"/>
  <c r="BJ61" i="97"/>
  <c r="BI61" i="97"/>
  <c r="C13" i="98"/>
  <c r="BH61" i="97"/>
  <c r="E16" i="98"/>
  <c r="AE70" i="97"/>
  <c r="BJ59" i="97"/>
  <c r="E11" i="98" s="1"/>
  <c r="R70" i="97"/>
  <c r="D70" i="97"/>
  <c r="BH52" i="97"/>
  <c r="AR70" i="97"/>
  <c r="BJ64" i="97"/>
  <c r="AO70" i="97"/>
  <c r="Y70" i="97"/>
  <c r="BK69" i="97"/>
  <c r="C21" i="98"/>
  <c r="BH69" i="97"/>
  <c r="BH57" i="97"/>
  <c r="AJ70" i="97"/>
  <c r="BK67" i="97"/>
  <c r="BJ67" i="97"/>
  <c r="E19" i="98" s="1"/>
  <c r="BI67" i="97"/>
  <c r="BH67" i="97"/>
  <c r="BK66" i="97"/>
  <c r="BK55" i="97"/>
  <c r="BJ55" i="97"/>
  <c r="E7" i="98" s="1"/>
  <c r="BI55" i="97"/>
  <c r="BH55" i="97"/>
  <c r="AQ70" i="97"/>
  <c r="AZ70" i="97"/>
  <c r="AS70" i="97"/>
  <c r="C11" i="98"/>
  <c r="BH59" i="97"/>
  <c r="AP70" i="97"/>
  <c r="Z70" i="97"/>
  <c r="BK64" i="97"/>
  <c r="M70" i="97"/>
  <c r="BK57" i="97"/>
  <c r="X70" i="97"/>
  <c r="BK62" i="97"/>
  <c r="O23" i="96"/>
  <c r="AH70" i="97"/>
  <c r="V70" i="97"/>
  <c r="J70" i="97"/>
  <c r="BK52" i="97"/>
  <c r="BK60" i="97"/>
  <c r="BJ60" i="97"/>
  <c r="BI60" i="97"/>
  <c r="C12" i="98"/>
  <c r="BH60" i="97"/>
  <c r="G70" i="97"/>
  <c r="K70" i="97"/>
  <c r="O70" i="97"/>
  <c r="BI59" i="97"/>
  <c r="D11" i="98" s="1"/>
  <c r="BB70" i="97"/>
  <c r="AD70" i="97"/>
  <c r="BD70" i="97"/>
  <c r="D16" i="98"/>
  <c r="BA70" i="97"/>
  <c r="AK70" i="97"/>
  <c r="BI69" i="97"/>
  <c r="BI57" i="97"/>
  <c r="D9" i="98" s="1"/>
  <c r="L70" i="97"/>
  <c r="BI62" i="97"/>
  <c r="AG70" i="97"/>
  <c r="U70" i="97"/>
  <c r="I70" i="97"/>
  <c r="BK65" i="97"/>
  <c r="BJ65" i="97"/>
  <c r="E17" i="98" s="1"/>
  <c r="BI65" i="97"/>
  <c r="D17" i="98" s="1"/>
  <c r="BK53" i="97"/>
  <c r="BJ53" i="97"/>
  <c r="BI53" i="97"/>
  <c r="BH53" i="97"/>
  <c r="D88" i="97"/>
  <c r="F25" i="91" s="1"/>
  <c r="F27" i="92" s="1"/>
  <c r="G24" i="14" s="1"/>
  <c r="BJ66" i="97"/>
  <c r="E18" i="98" s="1"/>
  <c r="S70" i="97"/>
  <c r="AN70" i="97"/>
  <c r="BK54" i="97"/>
  <c r="D76" i="97"/>
  <c r="BJ54" i="97"/>
  <c r="E6" i="98" s="1"/>
  <c r="W70" i="97"/>
  <c r="AA70" i="97"/>
  <c r="BK59" i="97"/>
  <c r="F70" i="97"/>
  <c r="N70" i="97"/>
  <c r="BJ69" i="97"/>
  <c r="BJ57" i="97"/>
  <c r="BJ62" i="97"/>
  <c r="AF70" i="97"/>
  <c r="T70" i="97"/>
  <c r="H70" i="97"/>
  <c r="AX70" i="97"/>
  <c r="AL70" i="97"/>
  <c r="BK58" i="97"/>
  <c r="BJ58" i="97"/>
  <c r="BI58" i="97"/>
  <c r="D10" i="98" s="1"/>
  <c r="BH58" i="97"/>
  <c r="AY70" i="97"/>
  <c r="AM70" i="97"/>
  <c r="D86" i="97"/>
  <c r="D13" i="98"/>
  <c r="E10" i="98"/>
  <c r="D80" i="97"/>
  <c r="D20" i="98"/>
  <c r="E85" i="97"/>
  <c r="J22" i="91" s="1"/>
  <c r="D85" i="97"/>
  <c r="D15" i="98"/>
  <c r="E14" i="98"/>
  <c r="D21" i="98"/>
  <c r="E15" i="98"/>
  <c r="E80" i="97"/>
  <c r="J17" i="91" s="1"/>
  <c r="E90" i="97"/>
  <c r="E20" i="98"/>
  <c r="D90" i="97"/>
  <c r="E13" i="98"/>
  <c r="E78" i="97"/>
  <c r="J15" i="91" s="1"/>
  <c r="E8" i="98"/>
  <c r="D78" i="97"/>
  <c r="E4" i="98"/>
  <c r="D74" i="97"/>
  <c r="F11" i="91" s="1"/>
  <c r="F13" i="92" s="1"/>
  <c r="D18" i="98"/>
  <c r="E83" i="97"/>
  <c r="J20" i="91" s="1"/>
  <c r="D83" i="97"/>
  <c r="D6" i="98"/>
  <c r="E81" i="97"/>
  <c r="J18" i="91" s="1"/>
  <c r="E9" i="98"/>
  <c r="D91" i="97"/>
  <c r="D79" i="97"/>
  <c r="E89" i="97"/>
  <c r="D89" i="97"/>
  <c r="D19" i="98"/>
  <c r="E88" i="97"/>
  <c r="J25" i="91" s="1"/>
  <c r="D12" i="98"/>
  <c r="E77" i="97"/>
  <c r="J14" i="91" s="1"/>
  <c r="D77" i="97"/>
  <c r="D7" i="98"/>
  <c r="E76" i="97"/>
  <c r="J13" i="91" s="1"/>
  <c r="D81" i="97"/>
  <c r="E21" i="98"/>
  <c r="D14" i="98"/>
  <c r="AB70" i="97"/>
  <c r="E84" i="97"/>
  <c r="J21" i="91" s="1"/>
  <c r="E74" i="97"/>
  <c r="J11" i="91" s="1"/>
  <c r="E82" i="97"/>
  <c r="J19" i="91" s="1"/>
  <c r="E12" i="98"/>
  <c r="D82" i="97"/>
  <c r="E5" i="98"/>
  <c r="E86" i="97"/>
  <c r="J23" i="91" s="1"/>
  <c r="E91" i="97"/>
  <c r="E79" i="97"/>
  <c r="J16" i="91" s="1"/>
  <c r="P70" i="97"/>
  <c r="D84" i="97"/>
  <c r="E87" i="97"/>
  <c r="J24" i="91" s="1"/>
  <c r="D87" i="97"/>
  <c r="E75" i="97"/>
  <c r="J12" i="91" s="1"/>
  <c r="D75" i="97"/>
  <c r="D5" i="98"/>
  <c r="BO58" i="97"/>
  <c r="C10" i="98"/>
  <c r="C8" i="98"/>
  <c r="BO56" i="97"/>
  <c r="C6" i="98"/>
  <c r="BO54" i="97"/>
  <c r="C20" i="98"/>
  <c r="C9" i="98"/>
  <c r="BO67" i="97"/>
  <c r="C19" i="98"/>
  <c r="C7" i="98"/>
  <c r="BO55" i="97"/>
  <c r="BO52" i="97"/>
  <c r="F21" i="98"/>
  <c r="BO64" i="97"/>
  <c r="BO65" i="97"/>
  <c r="F6" i="98"/>
  <c r="F19" i="98"/>
  <c r="BO59" i="97"/>
  <c r="BO66" i="97"/>
  <c r="C16" i="98"/>
  <c r="C15" i="98"/>
  <c r="BO62" i="97"/>
  <c r="C4" i="98"/>
  <c r="K44" i="94"/>
  <c r="F44" i="94"/>
  <c r="D44" i="94"/>
  <c r="L25" i="14" s="1"/>
  <c r="K22" i="94"/>
  <c r="F22" i="94"/>
  <c r="D22" i="94"/>
  <c r="F25" i="14" s="1"/>
  <c r="I19" i="94" l="1"/>
  <c r="J60" i="104" s="1"/>
  <c r="I21" i="94"/>
  <c r="J62" i="104" s="1"/>
  <c r="I18" i="94"/>
  <c r="J59" i="104" s="1"/>
  <c r="I20" i="94"/>
  <c r="J61" i="104" s="1"/>
  <c r="I10" i="94"/>
  <c r="J51" i="104" s="1"/>
  <c r="I11" i="94"/>
  <c r="I9" i="94"/>
  <c r="J50" i="104" s="1"/>
  <c r="I12" i="94"/>
  <c r="J53" i="104" s="1"/>
  <c r="I13" i="94"/>
  <c r="J54" i="104" s="1"/>
  <c r="I14" i="94"/>
  <c r="J55" i="104" s="1"/>
  <c r="I17" i="94"/>
  <c r="J58" i="104" s="1"/>
  <c r="I15" i="94"/>
  <c r="J56" i="104" s="1"/>
  <c r="I16" i="94"/>
  <c r="J57" i="104" s="1"/>
  <c r="G84" i="100"/>
  <c r="D83" i="100"/>
  <c r="E82" i="100"/>
  <c r="C86" i="100"/>
  <c r="G10" i="14"/>
  <c r="F17" i="91"/>
  <c r="F19" i="92" s="1"/>
  <c r="BM60" i="97"/>
  <c r="I13" i="98"/>
  <c r="BM61" i="97"/>
  <c r="H13" i="98" s="1"/>
  <c r="J26" i="92"/>
  <c r="J23" i="92"/>
  <c r="BK70" i="97"/>
  <c r="BM52" i="97"/>
  <c r="BH70" i="97"/>
  <c r="BO61" i="97"/>
  <c r="F21" i="91"/>
  <c r="F23" i="92" s="1"/>
  <c r="F15" i="91"/>
  <c r="F17" i="92" s="1"/>
  <c r="F13" i="91"/>
  <c r="F15" i="92" s="1"/>
  <c r="H17" i="98"/>
  <c r="BM54" i="97"/>
  <c r="I15" i="98"/>
  <c r="H15" i="98"/>
  <c r="F18" i="91"/>
  <c r="F20" i="92" s="1"/>
  <c r="F22" i="91"/>
  <c r="F24" i="92" s="1"/>
  <c r="BJ70" i="97"/>
  <c r="BM72" i="97" s="1"/>
  <c r="F19" i="91"/>
  <c r="F21" i="92" s="1"/>
  <c r="F14" i="91"/>
  <c r="F16" i="92" s="1"/>
  <c r="BM57" i="97"/>
  <c r="BM56" i="97"/>
  <c r="H8" i="98" s="1"/>
  <c r="I8" i="98"/>
  <c r="F23" i="91"/>
  <c r="F25" i="92" s="1"/>
  <c r="J17" i="92"/>
  <c r="F12" i="98"/>
  <c r="J15" i="92"/>
  <c r="H14" i="98"/>
  <c r="I14" i="98"/>
  <c r="F12" i="91"/>
  <c r="F14" i="92" s="1"/>
  <c r="J16" i="92"/>
  <c r="F20" i="91"/>
  <c r="F22" i="92" s="1"/>
  <c r="BM55" i="97"/>
  <c r="H7" i="98" s="1"/>
  <c r="J13" i="92"/>
  <c r="J18" i="92"/>
  <c r="F13" i="98"/>
  <c r="J20" i="92"/>
  <c r="J14" i="92"/>
  <c r="J22" i="92"/>
  <c r="J19" i="92"/>
  <c r="BM58" i="97"/>
  <c r="BM59" i="97"/>
  <c r="I16" i="98"/>
  <c r="H16" i="98"/>
  <c r="BI70" i="97"/>
  <c r="D22" i="98" s="1"/>
  <c r="F24" i="91"/>
  <c r="F26" i="92" s="1"/>
  <c r="F16" i="91"/>
  <c r="F18" i="92" s="1"/>
  <c r="J25" i="92"/>
  <c r="J24" i="92"/>
  <c r="BO60" i="97"/>
  <c r="J21" i="92"/>
  <c r="BO63" i="97"/>
  <c r="J27" i="92"/>
  <c r="BM53" i="97"/>
  <c r="D4" i="98"/>
  <c r="F8" i="98"/>
  <c r="F11" i="98"/>
  <c r="H11" i="98"/>
  <c r="I11" i="98"/>
  <c r="I7" i="98"/>
  <c r="F16" i="98"/>
  <c r="F4" i="98"/>
  <c r="I4" i="98"/>
  <c r="H4" i="98"/>
  <c r="F17" i="98"/>
  <c r="I17" i="98"/>
  <c r="E92" i="97"/>
  <c r="F9" i="98"/>
  <c r="I9" i="98"/>
  <c r="H9" i="98"/>
  <c r="BO69" i="97"/>
  <c r="H21" i="98"/>
  <c r="I21" i="98"/>
  <c r="H19" i="98"/>
  <c r="I19" i="98"/>
  <c r="F10" i="98"/>
  <c r="H10" i="98"/>
  <c r="I10" i="98"/>
  <c r="F22" i="98"/>
  <c r="F7" i="98"/>
  <c r="I6" i="98"/>
  <c r="H6" i="98"/>
  <c r="F20" i="98"/>
  <c r="H20" i="98"/>
  <c r="I20" i="98"/>
  <c r="F15" i="98"/>
  <c r="BO57" i="97"/>
  <c r="D92" i="97"/>
  <c r="F5" i="98"/>
  <c r="I5" i="98"/>
  <c r="BO53" i="97"/>
  <c r="H5" i="98"/>
  <c r="H12" i="98"/>
  <c r="I12" i="98"/>
  <c r="F18" i="98"/>
  <c r="H18" i="98"/>
  <c r="I18" i="98"/>
  <c r="BO68" i="97"/>
  <c r="F14" i="98"/>
  <c r="E11" i="94"/>
  <c r="E9" i="94"/>
  <c r="E8" i="94"/>
  <c r="E17" i="94"/>
  <c r="E16" i="94"/>
  <c r="E15" i="94"/>
  <c r="E14" i="94"/>
  <c r="E13" i="94"/>
  <c r="E12" i="94"/>
  <c r="E10" i="94"/>
  <c r="E18" i="94"/>
  <c r="E19" i="94"/>
  <c r="E20" i="94"/>
  <c r="J20" i="94" s="1"/>
  <c r="E21" i="94"/>
  <c r="J19" i="94" l="1"/>
  <c r="J52" i="104"/>
  <c r="J11" i="94"/>
  <c r="J21" i="94"/>
  <c r="BM71" i="97"/>
  <c r="E83" i="100"/>
  <c r="C87" i="100"/>
  <c r="D84" i="100"/>
  <c r="G85" i="100"/>
  <c r="E22" i="98"/>
  <c r="BM70" i="97"/>
  <c r="H22" i="98" s="1"/>
  <c r="BN70" i="97"/>
  <c r="I22" i="98" s="1"/>
  <c r="BO70" i="97"/>
  <c r="E44" i="94"/>
  <c r="E22" i="94"/>
  <c r="J18" i="94"/>
  <c r="H33" i="94" l="1"/>
  <c r="I73" i="104" s="1"/>
  <c r="H42" i="94"/>
  <c r="I82" i="104" s="1"/>
  <c r="H32" i="94"/>
  <c r="I72" i="104" s="1"/>
  <c r="H41" i="94"/>
  <c r="I81" i="104" s="1"/>
  <c r="H40" i="94"/>
  <c r="I80" i="104" s="1"/>
  <c r="H34" i="94"/>
  <c r="I74" i="104" s="1"/>
  <c r="H35" i="94"/>
  <c r="I75" i="104" s="1"/>
  <c r="H36" i="94"/>
  <c r="I76" i="104" s="1"/>
  <c r="H31" i="94"/>
  <c r="I71" i="104" s="1"/>
  <c r="H37" i="94"/>
  <c r="I77" i="104" s="1"/>
  <c r="H43" i="94"/>
  <c r="I83" i="104" s="1"/>
  <c r="H38" i="94"/>
  <c r="I78" i="104" s="1"/>
  <c r="H39" i="94"/>
  <c r="I79" i="104" s="1"/>
  <c r="C88" i="100"/>
  <c r="I84" i="100"/>
  <c r="J84" i="100" s="1"/>
  <c r="E84" i="100"/>
  <c r="G86" i="100"/>
  <c r="D85" i="100"/>
  <c r="I34" i="94"/>
  <c r="I36" i="94"/>
  <c r="I40" i="94"/>
  <c r="I41" i="94"/>
  <c r="I35" i="94"/>
  <c r="I33" i="94" l="1"/>
  <c r="J33" i="94" s="1"/>
  <c r="I39" i="94"/>
  <c r="J79" i="104" s="1"/>
  <c r="J39" i="94"/>
  <c r="J35" i="94"/>
  <c r="J75" i="104"/>
  <c r="O15" i="14"/>
  <c r="J41" i="94"/>
  <c r="J81" i="104"/>
  <c r="O21" i="14"/>
  <c r="J40" i="94"/>
  <c r="J80" i="104"/>
  <c r="O20" i="14"/>
  <c r="I84" i="104"/>
  <c r="J36" i="94"/>
  <c r="J76" i="104"/>
  <c r="O16" i="14"/>
  <c r="J34" i="94"/>
  <c r="J74" i="104"/>
  <c r="O14" i="14"/>
  <c r="I42" i="94"/>
  <c r="I37" i="94"/>
  <c r="I30" i="94"/>
  <c r="H44" i="94"/>
  <c r="I31" i="94"/>
  <c r="I43" i="94"/>
  <c r="I38" i="94"/>
  <c r="I32" i="94"/>
  <c r="E85" i="100"/>
  <c r="C89" i="100"/>
  <c r="G87" i="100"/>
  <c r="D86" i="100"/>
  <c r="D11" i="93"/>
  <c r="D10" i="93"/>
  <c r="D9" i="93"/>
  <c r="D8" i="93"/>
  <c r="D6" i="93"/>
  <c r="E6" i="93" s="1"/>
  <c r="Q12" i="93"/>
  <c r="Q11" i="93"/>
  <c r="Q10" i="93"/>
  <c r="Q9" i="93"/>
  <c r="Q8" i="93"/>
  <c r="Q6" i="93"/>
  <c r="Q5" i="93"/>
  <c r="N12" i="93"/>
  <c r="N11" i="93"/>
  <c r="N10" i="93"/>
  <c r="N9" i="93"/>
  <c r="N8" i="93"/>
  <c r="N6" i="93"/>
  <c r="N5" i="93"/>
  <c r="K12" i="93"/>
  <c r="K11" i="93"/>
  <c r="K10" i="93"/>
  <c r="K9" i="93"/>
  <c r="K8" i="93"/>
  <c r="K6" i="93"/>
  <c r="K5" i="93"/>
  <c r="H12" i="93"/>
  <c r="H11" i="93"/>
  <c r="H10" i="93"/>
  <c r="H9" i="93"/>
  <c r="H8" i="93"/>
  <c r="H6" i="93"/>
  <c r="H5" i="93"/>
  <c r="D5" i="93"/>
  <c r="E12" i="93"/>
  <c r="E10" i="93"/>
  <c r="E9" i="93"/>
  <c r="E8" i="93"/>
  <c r="Q4" i="93"/>
  <c r="Q13" i="93" s="1"/>
  <c r="N4" i="93"/>
  <c r="K4" i="93"/>
  <c r="H4" i="93"/>
  <c r="H13" i="93" s="1"/>
  <c r="E4" i="93"/>
  <c r="E13" i="93" s="1"/>
  <c r="E28" i="2"/>
  <c r="E29" i="2"/>
  <c r="E31" i="2"/>
  <c r="E32" i="2"/>
  <c r="E33" i="2"/>
  <c r="E34" i="2"/>
  <c r="E27" i="2"/>
  <c r="I36" i="2"/>
  <c r="G36" i="2"/>
  <c r="H36" i="2"/>
  <c r="J27" i="2"/>
  <c r="K27" i="2"/>
  <c r="J28" i="2"/>
  <c r="K28" i="2"/>
  <c r="J29" i="2"/>
  <c r="K29" i="2"/>
  <c r="J31" i="2"/>
  <c r="K31" i="2"/>
  <c r="J32" i="2"/>
  <c r="K32" i="2"/>
  <c r="J33" i="2"/>
  <c r="K33" i="2"/>
  <c r="L35" i="2"/>
  <c r="L34" i="2"/>
  <c r="F36" i="2"/>
  <c r="O13" i="14" l="1"/>
  <c r="J73" i="104"/>
  <c r="O19" i="14"/>
  <c r="J42" i="94"/>
  <c r="J82" i="104"/>
  <c r="O22" i="14"/>
  <c r="J37" i="94"/>
  <c r="J77" i="104"/>
  <c r="O17" i="14"/>
  <c r="J31" i="94"/>
  <c r="L31" i="94" s="1"/>
  <c r="M31" i="94" s="1"/>
  <c r="J71" i="104"/>
  <c r="O11" i="14"/>
  <c r="J32" i="94"/>
  <c r="L32" i="94" s="1"/>
  <c r="M32" i="94" s="1"/>
  <c r="J72" i="104"/>
  <c r="O12" i="14"/>
  <c r="J38" i="94"/>
  <c r="J78" i="104"/>
  <c r="O18" i="14"/>
  <c r="J43" i="94"/>
  <c r="J83" i="104"/>
  <c r="O23" i="14"/>
  <c r="J30" i="94"/>
  <c r="L30" i="94" s="1"/>
  <c r="J70" i="104"/>
  <c r="O10" i="14"/>
  <c r="I44" i="94"/>
  <c r="O25" i="14" s="1"/>
  <c r="E86" i="100"/>
  <c r="D87" i="100"/>
  <c r="G88" i="100"/>
  <c r="C90" i="100"/>
  <c r="L39" i="94"/>
  <c r="M39" i="94" s="1"/>
  <c r="L34" i="94"/>
  <c r="M34" i="94" s="1"/>
  <c r="L41" i="94"/>
  <c r="M41" i="94" s="1"/>
  <c r="L33" i="94"/>
  <c r="M33" i="94" s="1"/>
  <c r="E36" i="2"/>
  <c r="L36" i="2"/>
  <c r="N13" i="93"/>
  <c r="K13" i="93"/>
  <c r="K36" i="2"/>
  <c r="J36" i="2"/>
  <c r="J118" i="65"/>
  <c r="J96" i="65"/>
  <c r="P102" i="65"/>
  <c r="P103" i="65"/>
  <c r="P104" i="65"/>
  <c r="P105" i="65"/>
  <c r="P106" i="65"/>
  <c r="P107" i="65"/>
  <c r="P108" i="65"/>
  <c r="P109" i="65"/>
  <c r="P110" i="65"/>
  <c r="P111" i="65"/>
  <c r="P112" i="65"/>
  <c r="P113" i="65"/>
  <c r="P114" i="65"/>
  <c r="P115" i="65"/>
  <c r="P116" i="65"/>
  <c r="P117" i="65"/>
  <c r="P101" i="65"/>
  <c r="P80" i="65"/>
  <c r="P81" i="65"/>
  <c r="P82" i="65"/>
  <c r="P83" i="65"/>
  <c r="P84" i="65"/>
  <c r="P85" i="65"/>
  <c r="P86" i="65"/>
  <c r="P87" i="65"/>
  <c r="P88" i="65"/>
  <c r="P89" i="65"/>
  <c r="P90" i="65"/>
  <c r="P91" i="65"/>
  <c r="P92" i="65"/>
  <c r="P93" i="65"/>
  <c r="P94" i="65"/>
  <c r="P95" i="65"/>
  <c r="P79" i="65"/>
  <c r="J124" i="65"/>
  <c r="J125" i="65"/>
  <c r="J126" i="65"/>
  <c r="J127" i="65"/>
  <c r="J128" i="65"/>
  <c r="J129" i="65"/>
  <c r="J130" i="65"/>
  <c r="J131" i="65"/>
  <c r="J132" i="65"/>
  <c r="J133" i="65"/>
  <c r="J134" i="65"/>
  <c r="J135" i="65"/>
  <c r="J136" i="65"/>
  <c r="J137" i="65"/>
  <c r="J138" i="65"/>
  <c r="J123" i="65"/>
  <c r="L35" i="94" l="1"/>
  <c r="M35" i="94" s="1"/>
  <c r="L40" i="94"/>
  <c r="M40" i="94" s="1"/>
  <c r="L38" i="94"/>
  <c r="M38" i="94" s="1"/>
  <c r="L42" i="94"/>
  <c r="M42" i="94" s="1"/>
  <c r="L36" i="94"/>
  <c r="M36" i="94" s="1"/>
  <c r="L43" i="94"/>
  <c r="M43" i="94" s="1"/>
  <c r="L37" i="94"/>
  <c r="M37" i="94" s="1"/>
  <c r="J84" i="104"/>
  <c r="J44" i="94"/>
  <c r="C91" i="100"/>
  <c r="E87" i="100"/>
  <c r="G89" i="100"/>
  <c r="D88" i="100"/>
  <c r="M30" i="94"/>
  <c r="J140" i="65"/>
  <c r="F50" i="65"/>
  <c r="G50" i="65"/>
  <c r="H50" i="65"/>
  <c r="I50" i="65"/>
  <c r="J50" i="65"/>
  <c r="K50" i="65"/>
  <c r="L50" i="65"/>
  <c r="M50" i="65"/>
  <c r="N50" i="65"/>
  <c r="O50" i="65"/>
  <c r="E50" i="65"/>
  <c r="D50" i="65"/>
  <c r="E28" i="65"/>
  <c r="F28" i="65"/>
  <c r="G28" i="65"/>
  <c r="H28" i="65"/>
  <c r="I28" i="65"/>
  <c r="J28" i="65"/>
  <c r="K28" i="65"/>
  <c r="L28" i="65"/>
  <c r="M28" i="65"/>
  <c r="N28" i="65"/>
  <c r="O28" i="65"/>
  <c r="D28" i="65"/>
  <c r="L11" i="90"/>
  <c r="L12" i="90"/>
  <c r="L13" i="90"/>
  <c r="L14" i="90"/>
  <c r="L15" i="90"/>
  <c r="L16" i="90"/>
  <c r="L17" i="90"/>
  <c r="L18" i="90"/>
  <c r="M18" i="90" s="1"/>
  <c r="J18" i="90"/>
  <c r="K18" i="90" s="1"/>
  <c r="J11" i="90"/>
  <c r="K11" i="90" s="1"/>
  <c r="J12" i="90"/>
  <c r="K12" i="90" s="1"/>
  <c r="J13" i="90"/>
  <c r="K13" i="90" s="1"/>
  <c r="J14" i="90"/>
  <c r="K14" i="90" s="1"/>
  <c r="J15" i="90"/>
  <c r="K15" i="90" s="1"/>
  <c r="J16" i="90"/>
  <c r="K16" i="90" s="1"/>
  <c r="J17" i="90"/>
  <c r="K17" i="90" s="1"/>
  <c r="H11" i="90"/>
  <c r="I11" i="90" s="1"/>
  <c r="H12" i="90"/>
  <c r="I12" i="90" s="1"/>
  <c r="H13" i="90"/>
  <c r="I13" i="90" s="1"/>
  <c r="H14" i="90"/>
  <c r="I14" i="90" s="1"/>
  <c r="H15" i="90"/>
  <c r="I15" i="90" s="1"/>
  <c r="H16" i="90"/>
  <c r="I16" i="90" s="1"/>
  <c r="H17" i="90"/>
  <c r="I17" i="90" s="1"/>
  <c r="H18" i="90"/>
  <c r="I18" i="90" s="1"/>
  <c r="F11" i="90"/>
  <c r="G11" i="90" s="1"/>
  <c r="F12" i="90"/>
  <c r="G12" i="90" s="1"/>
  <c r="F13" i="90"/>
  <c r="G13" i="90" s="1"/>
  <c r="F14" i="90"/>
  <c r="G14" i="90" s="1"/>
  <c r="F15" i="90"/>
  <c r="G15" i="90" s="1"/>
  <c r="F16" i="90"/>
  <c r="G16" i="90" s="1"/>
  <c r="F17" i="90"/>
  <c r="G17" i="90" s="1"/>
  <c r="F18" i="90"/>
  <c r="D11" i="90"/>
  <c r="E11" i="90" s="1"/>
  <c r="D12" i="90"/>
  <c r="E12" i="90" s="1"/>
  <c r="D13" i="90"/>
  <c r="E13" i="90" s="1"/>
  <c r="D14" i="90"/>
  <c r="E14" i="90" s="1"/>
  <c r="D15" i="90"/>
  <c r="E15" i="90" s="1"/>
  <c r="D16" i="90"/>
  <c r="E16" i="90" s="1"/>
  <c r="D17" i="90"/>
  <c r="E17" i="90" s="1"/>
  <c r="D18" i="90"/>
  <c r="E18" i="90" s="1"/>
  <c r="L44" i="94" l="1"/>
  <c r="M44" i="94"/>
  <c r="N70" i="104"/>
  <c r="N72" i="104"/>
  <c r="O72" i="104" s="1"/>
  <c r="N80" i="104"/>
  <c r="O80" i="104" s="1"/>
  <c r="N81" i="104"/>
  <c r="O81" i="104" s="1"/>
  <c r="N83" i="104"/>
  <c r="O83" i="104" s="1"/>
  <c r="N78" i="104"/>
  <c r="O78" i="104" s="1"/>
  <c r="N77" i="104"/>
  <c r="O77" i="104" s="1"/>
  <c r="N71" i="104"/>
  <c r="O71" i="104" s="1"/>
  <c r="N75" i="104"/>
  <c r="O75" i="104" s="1"/>
  <c r="N73" i="104"/>
  <c r="O73" i="104" s="1"/>
  <c r="N79" i="104"/>
  <c r="O79" i="104" s="1"/>
  <c r="N82" i="104"/>
  <c r="O82" i="104" s="1"/>
  <c r="N74" i="104"/>
  <c r="O74" i="104" s="1"/>
  <c r="N76" i="104"/>
  <c r="O76" i="104" s="1"/>
  <c r="C92" i="100"/>
  <c r="E88" i="100"/>
  <c r="G90" i="100"/>
  <c r="D89" i="100"/>
  <c r="G18" i="90"/>
  <c r="M11" i="90"/>
  <c r="M12" i="90"/>
  <c r="M13" i="90"/>
  <c r="M14" i="90"/>
  <c r="M15" i="90"/>
  <c r="M16" i="90"/>
  <c r="M17" i="90"/>
  <c r="L10" i="90"/>
  <c r="M10" i="90" s="1"/>
  <c r="J10" i="90"/>
  <c r="K10" i="90" s="1"/>
  <c r="K19" i="90" s="1"/>
  <c r="H10" i="90"/>
  <c r="I10" i="90" s="1"/>
  <c r="F10" i="90"/>
  <c r="G10" i="90" s="1"/>
  <c r="O70" i="104" l="1"/>
  <c r="N84" i="104"/>
  <c r="E89" i="100"/>
  <c r="D90" i="100"/>
  <c r="G91" i="100"/>
  <c r="C93" i="100"/>
  <c r="E10" i="90"/>
  <c r="E19" i="90" s="1"/>
  <c r="D19" i="90"/>
  <c r="J19" i="90"/>
  <c r="L19" i="90"/>
  <c r="H19" i="90"/>
  <c r="F19" i="90"/>
  <c r="M19" i="90"/>
  <c r="I19" i="90"/>
  <c r="G19" i="90"/>
  <c r="G11" i="14"/>
  <c r="G12" i="14"/>
  <c r="G13" i="14"/>
  <c r="G14" i="14"/>
  <c r="G15" i="14"/>
  <c r="G16" i="14"/>
  <c r="G17" i="14"/>
  <c r="G18" i="14"/>
  <c r="G19" i="14"/>
  <c r="M11" i="14"/>
  <c r="M12" i="14"/>
  <c r="M13" i="14"/>
  <c r="M14" i="14"/>
  <c r="M15" i="14"/>
  <c r="M16" i="14"/>
  <c r="M17" i="14"/>
  <c r="M18" i="14"/>
  <c r="M19" i="14"/>
  <c r="M20" i="14"/>
  <c r="M21" i="14"/>
  <c r="M22" i="14"/>
  <c r="M23" i="14"/>
  <c r="M10" i="14"/>
  <c r="K18" i="14"/>
  <c r="G19" i="76" s="1"/>
  <c r="D25" i="14"/>
  <c r="N28" i="92"/>
  <c r="L28" i="92"/>
  <c r="F28" i="92"/>
  <c r="H28" i="92"/>
  <c r="J28" i="92"/>
  <c r="D28" i="92"/>
  <c r="F19" i="2"/>
  <c r="G19" i="2"/>
  <c r="H19" i="2"/>
  <c r="I19" i="2"/>
  <c r="O84" i="104" l="1"/>
  <c r="R52" i="14"/>
  <c r="R79" i="14"/>
  <c r="R136" i="14" s="1"/>
  <c r="O52" i="14"/>
  <c r="O109" i="14" s="1"/>
  <c r="O79" i="14"/>
  <c r="O136" i="14" s="1"/>
  <c r="L52" i="14"/>
  <c r="L109" i="14" s="1"/>
  <c r="L79" i="14"/>
  <c r="L136" i="14" s="1"/>
  <c r="I52" i="14"/>
  <c r="I109" i="14" s="1"/>
  <c r="I79" i="14"/>
  <c r="I136" i="14" s="1"/>
  <c r="G92" i="100"/>
  <c r="D91" i="100"/>
  <c r="E90" i="100"/>
  <c r="C94" i="100"/>
  <c r="E24" i="92"/>
  <c r="E13" i="92"/>
  <c r="E14" i="92"/>
  <c r="E26" i="92"/>
  <c r="E23" i="92"/>
  <c r="E25" i="92"/>
  <c r="E27" i="92"/>
  <c r="E16" i="92"/>
  <c r="E15" i="92"/>
  <c r="E17" i="92"/>
  <c r="E18" i="92"/>
  <c r="E19" i="92"/>
  <c r="E20" i="92"/>
  <c r="E22" i="92"/>
  <c r="E21" i="92"/>
  <c r="G13" i="92"/>
  <c r="G27" i="92"/>
  <c r="G22" i="92"/>
  <c r="G15" i="92"/>
  <c r="G20" i="92"/>
  <c r="G25" i="92"/>
  <c r="G18" i="92"/>
  <c r="G16" i="92"/>
  <c r="G26" i="92"/>
  <c r="G14" i="92"/>
  <c r="G19" i="92"/>
  <c r="G21" i="92"/>
  <c r="G17" i="92"/>
  <c r="G24" i="92"/>
  <c r="G23" i="92"/>
  <c r="I19" i="92"/>
  <c r="I18" i="92"/>
  <c r="I20" i="92"/>
  <c r="I21" i="92"/>
  <c r="I22" i="92"/>
  <c r="I27" i="92"/>
  <c r="I17" i="92"/>
  <c r="I26" i="92"/>
  <c r="I23" i="92"/>
  <c r="I15" i="92"/>
  <c r="I14" i="92"/>
  <c r="I25" i="92"/>
  <c r="I24" i="92"/>
  <c r="I13" i="92"/>
  <c r="I16" i="92"/>
  <c r="O13" i="92"/>
  <c r="O24" i="92"/>
  <c r="O20" i="92"/>
  <c r="O22" i="92"/>
  <c r="O23" i="92"/>
  <c r="O27" i="92"/>
  <c r="O16" i="92"/>
  <c r="O17" i="92"/>
  <c r="O15" i="92"/>
  <c r="O14" i="92"/>
  <c r="O19" i="92"/>
  <c r="O21" i="92"/>
  <c r="O26" i="92"/>
  <c r="O18" i="92"/>
  <c r="O25" i="92"/>
  <c r="M19" i="92"/>
  <c r="M16" i="92"/>
  <c r="M17" i="92"/>
  <c r="M18" i="92"/>
  <c r="M27" i="92"/>
  <c r="M26" i="92"/>
  <c r="M22" i="92"/>
  <c r="M14" i="92"/>
  <c r="M23" i="92"/>
  <c r="M15" i="92"/>
  <c r="M21" i="92"/>
  <c r="M20" i="92"/>
  <c r="M25" i="92"/>
  <c r="M13" i="92"/>
  <c r="M24" i="92"/>
  <c r="K19" i="92"/>
  <c r="K18" i="92"/>
  <c r="K27" i="92"/>
  <c r="K26" i="92"/>
  <c r="K23" i="92"/>
  <c r="K17" i="92"/>
  <c r="K15" i="92"/>
  <c r="K14" i="92"/>
  <c r="K24" i="92"/>
  <c r="K21" i="92"/>
  <c r="K16" i="92"/>
  <c r="K25" i="92"/>
  <c r="K13" i="92"/>
  <c r="K20" i="92"/>
  <c r="K22" i="92"/>
  <c r="E22" i="14"/>
  <c r="F22" i="14" s="1"/>
  <c r="D23" i="76" s="1"/>
  <c r="E20" i="14"/>
  <c r="F20" i="14" s="1"/>
  <c r="D21" i="76" s="1"/>
  <c r="E18" i="14"/>
  <c r="F18" i="14" s="1"/>
  <c r="D19" i="76" s="1"/>
  <c r="K17" i="14"/>
  <c r="G18" i="76" s="1"/>
  <c r="K13" i="14"/>
  <c r="G14" i="76" s="1"/>
  <c r="K16" i="14"/>
  <c r="G17" i="76" s="1"/>
  <c r="E21" i="14"/>
  <c r="F21" i="14" s="1"/>
  <c r="D22" i="76" s="1"/>
  <c r="K10" i="14"/>
  <c r="G11" i="76" s="1"/>
  <c r="K15" i="14"/>
  <c r="G16" i="76" s="1"/>
  <c r="K14" i="14"/>
  <c r="G15" i="76" s="1"/>
  <c r="E19" i="14"/>
  <c r="F19" i="14" s="1"/>
  <c r="D20" i="76" s="1"/>
  <c r="E17" i="14"/>
  <c r="F17" i="14" s="1"/>
  <c r="D18" i="76" s="1"/>
  <c r="K12" i="14"/>
  <c r="G13" i="76" s="1"/>
  <c r="K23" i="14"/>
  <c r="G24" i="76" s="1"/>
  <c r="K11" i="14"/>
  <c r="G12" i="76" s="1"/>
  <c r="K22" i="14"/>
  <c r="G23" i="76" s="1"/>
  <c r="K21" i="14"/>
  <c r="G22" i="76" s="1"/>
  <c r="E10" i="14"/>
  <c r="E13" i="14"/>
  <c r="F13" i="14" s="1"/>
  <c r="D14" i="76" s="1"/>
  <c r="K20" i="14"/>
  <c r="G21" i="76" s="1"/>
  <c r="K19" i="14"/>
  <c r="G20" i="76" s="1"/>
  <c r="E23" i="14"/>
  <c r="F23" i="14" s="1"/>
  <c r="D24" i="76" s="1"/>
  <c r="E11" i="14"/>
  <c r="F11" i="14" s="1"/>
  <c r="D12" i="76" s="1"/>
  <c r="K24" i="14"/>
  <c r="L24" i="14" s="1"/>
  <c r="G25" i="76" s="1"/>
  <c r="E16" i="14"/>
  <c r="F16" i="14" s="1"/>
  <c r="D17" i="76" s="1"/>
  <c r="E15" i="14"/>
  <c r="F15" i="14" s="1"/>
  <c r="D16" i="76" s="1"/>
  <c r="E14" i="14"/>
  <c r="F14" i="14" s="1"/>
  <c r="D15" i="76" s="1"/>
  <c r="E24" i="14"/>
  <c r="F24" i="14" s="1"/>
  <c r="D25" i="76" s="1"/>
  <c r="E12" i="14"/>
  <c r="F12" i="14" s="1"/>
  <c r="D13" i="76" s="1"/>
  <c r="G25" i="14"/>
  <c r="M25" i="14"/>
  <c r="N16" i="14" s="1"/>
  <c r="G30" i="76" l="1"/>
  <c r="E91" i="100"/>
  <c r="G93" i="100"/>
  <c r="D92" i="100"/>
  <c r="E92" i="100" s="1"/>
  <c r="C95" i="100"/>
  <c r="H17" i="76"/>
  <c r="I17" i="76" s="1"/>
  <c r="E25" i="14"/>
  <c r="K25" i="14"/>
  <c r="N15" i="14"/>
  <c r="N17" i="14"/>
  <c r="H11" i="14"/>
  <c r="E9" i="102" s="1"/>
  <c r="G9" i="102" s="1"/>
  <c r="H9" i="102" s="1"/>
  <c r="H12" i="14"/>
  <c r="E10" i="102" s="1"/>
  <c r="G10" i="102" s="1"/>
  <c r="H10" i="102" s="1"/>
  <c r="H13" i="14"/>
  <c r="E11" i="102" s="1"/>
  <c r="G11" i="102" s="1"/>
  <c r="H11" i="102" s="1"/>
  <c r="H10" i="14"/>
  <c r="E8" i="102" s="1"/>
  <c r="G8" i="102" s="1"/>
  <c r="H15" i="14"/>
  <c r="E13" i="102" s="1"/>
  <c r="G13" i="102" s="1"/>
  <c r="H13" i="102" s="1"/>
  <c r="H17" i="14"/>
  <c r="E15" i="102" s="1"/>
  <c r="G15" i="102" s="1"/>
  <c r="H15" i="102" s="1"/>
  <c r="H18" i="14"/>
  <c r="E16" i="102" s="1"/>
  <c r="G16" i="102" s="1"/>
  <c r="H16" i="102" s="1"/>
  <c r="H23" i="14"/>
  <c r="E21" i="102" s="1"/>
  <c r="G21" i="102" s="1"/>
  <c r="H21" i="102" s="1"/>
  <c r="H24" i="14"/>
  <c r="H25" i="14"/>
  <c r="E25" i="101" s="1"/>
  <c r="G25" i="101" s="1"/>
  <c r="H25" i="101" s="1"/>
  <c r="H14" i="14"/>
  <c r="E12" i="102" s="1"/>
  <c r="G12" i="102" s="1"/>
  <c r="H12" i="102" s="1"/>
  <c r="H16" i="14"/>
  <c r="E14" i="102" s="1"/>
  <c r="G14" i="102" s="1"/>
  <c r="H14" i="102" s="1"/>
  <c r="H19" i="14"/>
  <c r="E17" i="102" s="1"/>
  <c r="G17" i="102" s="1"/>
  <c r="H17" i="102" s="1"/>
  <c r="H21" i="14"/>
  <c r="E19" i="102" s="1"/>
  <c r="G19" i="102" s="1"/>
  <c r="H19" i="102" s="1"/>
  <c r="I28" i="92"/>
  <c r="E28" i="92"/>
  <c r="H20" i="14"/>
  <c r="E18" i="102" s="1"/>
  <c r="G18" i="102" s="1"/>
  <c r="H18" i="102" s="1"/>
  <c r="G28" i="92"/>
  <c r="O28" i="92"/>
  <c r="H22" i="14"/>
  <c r="N20" i="14"/>
  <c r="N21" i="14"/>
  <c r="N11" i="14"/>
  <c r="N12" i="14"/>
  <c r="N10" i="14"/>
  <c r="N19" i="14"/>
  <c r="N22" i="14"/>
  <c r="N23" i="14"/>
  <c r="N13" i="14"/>
  <c r="N14" i="14"/>
  <c r="M28" i="92"/>
  <c r="N18" i="14"/>
  <c r="K28" i="92"/>
  <c r="G30" i="102" l="1"/>
  <c r="G36" i="102"/>
  <c r="H36" i="102" s="1"/>
  <c r="D93" i="100"/>
  <c r="E93" i="100" s="1"/>
  <c r="G94" i="100"/>
  <c r="C96" i="100"/>
  <c r="E20" i="102"/>
  <c r="G20" i="102" s="1"/>
  <c r="H20" i="102" s="1"/>
  <c r="H16" i="76"/>
  <c r="I16" i="76" s="1"/>
  <c r="H24" i="76"/>
  <c r="I24" i="76" s="1"/>
  <c r="H23" i="76"/>
  <c r="I23" i="76" s="1"/>
  <c r="H20" i="76"/>
  <c r="I20" i="76" s="1"/>
  <c r="H13" i="76"/>
  <c r="I13" i="76" s="1"/>
  <c r="H18" i="76"/>
  <c r="I18" i="76" s="1"/>
  <c r="H12" i="76"/>
  <c r="I12" i="76" s="1"/>
  <c r="H22" i="76"/>
  <c r="I22" i="76" s="1"/>
  <c r="H19" i="76"/>
  <c r="I19" i="76" s="1"/>
  <c r="H21" i="76"/>
  <c r="I21" i="76" s="1"/>
  <c r="H15" i="76"/>
  <c r="I15" i="76" s="1"/>
  <c r="H14" i="76"/>
  <c r="I14" i="76" s="1"/>
  <c r="H25" i="76"/>
  <c r="I25" i="76" s="1"/>
  <c r="E13" i="101"/>
  <c r="G13" i="101" s="1"/>
  <c r="H13" i="101" s="1"/>
  <c r="E12" i="101"/>
  <c r="G12" i="101" s="1"/>
  <c r="H12" i="101" s="1"/>
  <c r="E20" i="101"/>
  <c r="G20" i="101" s="1"/>
  <c r="H20" i="101" s="1"/>
  <c r="E21" i="101"/>
  <c r="G21" i="101" s="1"/>
  <c r="H21" i="101" s="1"/>
  <c r="E16" i="101"/>
  <c r="G16" i="101" s="1"/>
  <c r="H16" i="101" s="1"/>
  <c r="E15" i="101"/>
  <c r="G15" i="101" s="1"/>
  <c r="H15" i="101" s="1"/>
  <c r="E18" i="101"/>
  <c r="G18" i="101" s="1"/>
  <c r="H18" i="101" s="1"/>
  <c r="E8" i="101"/>
  <c r="G8" i="101" s="1"/>
  <c r="E11" i="101"/>
  <c r="G11" i="101" s="1"/>
  <c r="H11" i="101" s="1"/>
  <c r="E19" i="101"/>
  <c r="G19" i="101" s="1"/>
  <c r="H19" i="101" s="1"/>
  <c r="E10" i="101"/>
  <c r="G10" i="101" s="1"/>
  <c r="H10" i="101" s="1"/>
  <c r="E17" i="101"/>
  <c r="G17" i="101" s="1"/>
  <c r="H17" i="101" s="1"/>
  <c r="E9" i="101"/>
  <c r="E14" i="101"/>
  <c r="G14" i="101" s="1"/>
  <c r="H14" i="101" s="1"/>
  <c r="E22" i="101"/>
  <c r="G22" i="101" s="1"/>
  <c r="H22" i="101" s="1"/>
  <c r="N25" i="14"/>
  <c r="F26" i="91"/>
  <c r="H26" i="91"/>
  <c r="J26" i="91"/>
  <c r="L26" i="91"/>
  <c r="N26" i="91"/>
  <c r="D26" i="91"/>
  <c r="D124" i="65"/>
  <c r="E124" i="65"/>
  <c r="F124" i="65"/>
  <c r="G124" i="65"/>
  <c r="H124" i="65"/>
  <c r="I124" i="65"/>
  <c r="D125" i="65"/>
  <c r="E125" i="65"/>
  <c r="F125" i="65"/>
  <c r="G125" i="65"/>
  <c r="H125" i="65"/>
  <c r="I125" i="65"/>
  <c r="D126" i="65"/>
  <c r="E126" i="65"/>
  <c r="F126" i="65"/>
  <c r="G126" i="65"/>
  <c r="H126" i="65"/>
  <c r="I126" i="65"/>
  <c r="D127" i="65"/>
  <c r="E127" i="65"/>
  <c r="F127" i="65"/>
  <c r="G127" i="65"/>
  <c r="H127" i="65"/>
  <c r="I127" i="65"/>
  <c r="D128" i="65"/>
  <c r="E128" i="65"/>
  <c r="F128" i="65"/>
  <c r="G128" i="65"/>
  <c r="H128" i="65"/>
  <c r="I128" i="65"/>
  <c r="D129" i="65"/>
  <c r="E129" i="65"/>
  <c r="F129" i="65"/>
  <c r="G129" i="65"/>
  <c r="H129" i="65"/>
  <c r="I129" i="65"/>
  <c r="D130" i="65"/>
  <c r="E130" i="65"/>
  <c r="F130" i="65"/>
  <c r="G130" i="65"/>
  <c r="H130" i="65"/>
  <c r="I130" i="65"/>
  <c r="D131" i="65"/>
  <c r="E131" i="65"/>
  <c r="F131" i="65"/>
  <c r="G131" i="65"/>
  <c r="H131" i="65"/>
  <c r="I131" i="65"/>
  <c r="D132" i="65"/>
  <c r="E132" i="65"/>
  <c r="F132" i="65"/>
  <c r="G132" i="65"/>
  <c r="H132" i="65"/>
  <c r="I132" i="65"/>
  <c r="D133" i="65"/>
  <c r="E133" i="65"/>
  <c r="F133" i="65"/>
  <c r="G133" i="65"/>
  <c r="H133" i="65"/>
  <c r="I133" i="65"/>
  <c r="D134" i="65"/>
  <c r="E134" i="65"/>
  <c r="F134" i="65"/>
  <c r="G134" i="65"/>
  <c r="H134" i="65"/>
  <c r="I134" i="65"/>
  <c r="D135" i="65"/>
  <c r="E135" i="65"/>
  <c r="F135" i="65"/>
  <c r="G135" i="65"/>
  <c r="H135" i="65"/>
  <c r="I135" i="65"/>
  <c r="D136" i="65"/>
  <c r="E136" i="65"/>
  <c r="F136" i="65"/>
  <c r="G136" i="65"/>
  <c r="H136" i="65"/>
  <c r="I136" i="65"/>
  <c r="D137" i="65"/>
  <c r="E137" i="65"/>
  <c r="F137" i="65"/>
  <c r="G137" i="65"/>
  <c r="H137" i="65"/>
  <c r="I137" i="65"/>
  <c r="D138" i="65"/>
  <c r="E138" i="65"/>
  <c r="F138" i="65"/>
  <c r="G138" i="65"/>
  <c r="H138" i="65"/>
  <c r="I138" i="65"/>
  <c r="D139" i="65"/>
  <c r="E139" i="65"/>
  <c r="F139" i="65"/>
  <c r="G139" i="65"/>
  <c r="H139" i="65"/>
  <c r="I139" i="65"/>
  <c r="E123" i="65"/>
  <c r="F123" i="65"/>
  <c r="G123" i="65"/>
  <c r="H123" i="65"/>
  <c r="I123" i="65"/>
  <c r="D123" i="65"/>
  <c r="D96" i="65"/>
  <c r="E96" i="65"/>
  <c r="F96" i="65"/>
  <c r="G96" i="65"/>
  <c r="H96" i="65"/>
  <c r="I96" i="65"/>
  <c r="D56" i="65"/>
  <c r="E56" i="65"/>
  <c r="F56" i="65"/>
  <c r="G56" i="65"/>
  <c r="H56" i="65"/>
  <c r="I56" i="65"/>
  <c r="J56" i="65"/>
  <c r="K56" i="65"/>
  <c r="L56" i="65"/>
  <c r="M56" i="65"/>
  <c r="N56" i="65"/>
  <c r="O56" i="65"/>
  <c r="D57" i="65"/>
  <c r="E57" i="65"/>
  <c r="F57" i="65"/>
  <c r="G57" i="65"/>
  <c r="H57" i="65"/>
  <c r="I57" i="65"/>
  <c r="J57" i="65"/>
  <c r="K57" i="65"/>
  <c r="L57" i="65"/>
  <c r="M57" i="65"/>
  <c r="N57" i="65"/>
  <c r="O57" i="65"/>
  <c r="D58" i="65"/>
  <c r="E58" i="65"/>
  <c r="F58" i="65"/>
  <c r="G58" i="65"/>
  <c r="H58" i="65"/>
  <c r="I58" i="65"/>
  <c r="J58" i="65"/>
  <c r="K58" i="65"/>
  <c r="L58" i="65"/>
  <c r="M58" i="65"/>
  <c r="N58" i="65"/>
  <c r="O58" i="65"/>
  <c r="D59" i="65"/>
  <c r="E59" i="65"/>
  <c r="F59" i="65"/>
  <c r="G59" i="65"/>
  <c r="H59" i="65"/>
  <c r="I59" i="65"/>
  <c r="J59" i="65"/>
  <c r="K59" i="65"/>
  <c r="L59" i="65"/>
  <c r="M59" i="65"/>
  <c r="N59" i="65"/>
  <c r="O59" i="65"/>
  <c r="D60" i="65"/>
  <c r="E60" i="65"/>
  <c r="F60" i="65"/>
  <c r="G60" i="65"/>
  <c r="H60" i="65"/>
  <c r="I60" i="65"/>
  <c r="J60" i="65"/>
  <c r="K60" i="65"/>
  <c r="L60" i="65"/>
  <c r="M60" i="65"/>
  <c r="N60" i="65"/>
  <c r="O60" i="65"/>
  <c r="D61" i="65"/>
  <c r="E61" i="65"/>
  <c r="F61" i="65"/>
  <c r="G61" i="65"/>
  <c r="H61" i="65"/>
  <c r="I61" i="65"/>
  <c r="J61" i="65"/>
  <c r="K61" i="65"/>
  <c r="L61" i="65"/>
  <c r="M61" i="65"/>
  <c r="N61" i="65"/>
  <c r="O61" i="65"/>
  <c r="D62" i="65"/>
  <c r="E62" i="65"/>
  <c r="F62" i="65"/>
  <c r="G62" i="65"/>
  <c r="H62" i="65"/>
  <c r="I62" i="65"/>
  <c r="J62" i="65"/>
  <c r="K62" i="65"/>
  <c r="L62" i="65"/>
  <c r="M62" i="65"/>
  <c r="N62" i="65"/>
  <c r="O62" i="65"/>
  <c r="D63" i="65"/>
  <c r="E63" i="65"/>
  <c r="F63" i="65"/>
  <c r="G63" i="65"/>
  <c r="H63" i="65"/>
  <c r="I63" i="65"/>
  <c r="J63" i="65"/>
  <c r="K63" i="65"/>
  <c r="L63" i="65"/>
  <c r="M63" i="65"/>
  <c r="N63" i="65"/>
  <c r="O63" i="65"/>
  <c r="D64" i="65"/>
  <c r="E64" i="65"/>
  <c r="F64" i="65"/>
  <c r="G64" i="65"/>
  <c r="H64" i="65"/>
  <c r="I64" i="65"/>
  <c r="J64" i="65"/>
  <c r="K64" i="65"/>
  <c r="L64" i="65"/>
  <c r="M64" i="65"/>
  <c r="N64" i="65"/>
  <c r="O64" i="65"/>
  <c r="D65" i="65"/>
  <c r="E65" i="65"/>
  <c r="F65" i="65"/>
  <c r="G65" i="65"/>
  <c r="H65" i="65"/>
  <c r="I65" i="65"/>
  <c r="J65" i="65"/>
  <c r="K65" i="65"/>
  <c r="L65" i="65"/>
  <c r="M65" i="65"/>
  <c r="N65" i="65"/>
  <c r="O65" i="65"/>
  <c r="D66" i="65"/>
  <c r="E66" i="65"/>
  <c r="F66" i="65"/>
  <c r="G66" i="65"/>
  <c r="H66" i="65"/>
  <c r="I66" i="65"/>
  <c r="J66" i="65"/>
  <c r="K66" i="65"/>
  <c r="L66" i="65"/>
  <c r="M66" i="65"/>
  <c r="N66" i="65"/>
  <c r="O66" i="65"/>
  <c r="D67" i="65"/>
  <c r="E67" i="65"/>
  <c r="F67" i="65"/>
  <c r="G67" i="65"/>
  <c r="H67" i="65"/>
  <c r="I67" i="65"/>
  <c r="J67" i="65"/>
  <c r="K67" i="65"/>
  <c r="L67" i="65"/>
  <c r="M67" i="65"/>
  <c r="N67" i="65"/>
  <c r="O67" i="65"/>
  <c r="D68" i="65"/>
  <c r="E68" i="65"/>
  <c r="F68" i="65"/>
  <c r="G68" i="65"/>
  <c r="H68" i="65"/>
  <c r="I68" i="65"/>
  <c r="J68" i="65"/>
  <c r="K68" i="65"/>
  <c r="L68" i="65"/>
  <c r="M68" i="65"/>
  <c r="N68" i="65"/>
  <c r="O68" i="65"/>
  <c r="D69" i="65"/>
  <c r="E69" i="65"/>
  <c r="F69" i="65"/>
  <c r="G69" i="65"/>
  <c r="H69" i="65"/>
  <c r="I69" i="65"/>
  <c r="J69" i="65"/>
  <c r="K69" i="65"/>
  <c r="L69" i="65"/>
  <c r="M69" i="65"/>
  <c r="N69" i="65"/>
  <c r="O69" i="65"/>
  <c r="D70" i="65"/>
  <c r="E70" i="65"/>
  <c r="F70" i="65"/>
  <c r="G70" i="65"/>
  <c r="H70" i="65"/>
  <c r="I70" i="65"/>
  <c r="J70" i="65"/>
  <c r="K70" i="65"/>
  <c r="L70" i="65"/>
  <c r="M70" i="65"/>
  <c r="N70" i="65"/>
  <c r="O70" i="65"/>
  <c r="E55" i="65"/>
  <c r="F55" i="65"/>
  <c r="G55" i="65"/>
  <c r="H55" i="65"/>
  <c r="I55" i="65"/>
  <c r="J55" i="65"/>
  <c r="K55" i="65"/>
  <c r="L55" i="65"/>
  <c r="M55" i="65"/>
  <c r="N55" i="65"/>
  <c r="O55" i="65"/>
  <c r="D55" i="65"/>
  <c r="P34" i="65"/>
  <c r="P35" i="65"/>
  <c r="P36" i="65"/>
  <c r="P37" i="65"/>
  <c r="P38" i="65"/>
  <c r="P39" i="65"/>
  <c r="P40" i="65"/>
  <c r="P41" i="65"/>
  <c r="P42" i="65"/>
  <c r="P43" i="65"/>
  <c r="P44" i="65"/>
  <c r="P45" i="65"/>
  <c r="P46" i="65"/>
  <c r="P47" i="65"/>
  <c r="P48" i="65"/>
  <c r="P33" i="65"/>
  <c r="P12" i="65"/>
  <c r="P13" i="65"/>
  <c r="P14" i="65"/>
  <c r="P15" i="65"/>
  <c r="P16" i="65"/>
  <c r="P17" i="65"/>
  <c r="P18" i="65"/>
  <c r="P19" i="65"/>
  <c r="P20" i="65"/>
  <c r="P21" i="65"/>
  <c r="P22" i="65"/>
  <c r="P23" i="65"/>
  <c r="P24" i="65"/>
  <c r="P25" i="65"/>
  <c r="P11" i="65"/>
  <c r="G22" i="102" l="1"/>
  <c r="G40" i="102"/>
  <c r="H40" i="102" s="1"/>
  <c r="G39" i="102"/>
  <c r="H39" i="102" s="1"/>
  <c r="G31" i="102"/>
  <c r="H31" i="102" s="1"/>
  <c r="G33" i="102"/>
  <c r="H33" i="102" s="1"/>
  <c r="G32" i="102"/>
  <c r="G42" i="102"/>
  <c r="H42" i="102" s="1"/>
  <c r="G37" i="102"/>
  <c r="H37" i="102" s="1"/>
  <c r="G34" i="102"/>
  <c r="H34" i="102" s="1"/>
  <c r="G38" i="102"/>
  <c r="H38" i="102" s="1"/>
  <c r="G35" i="102"/>
  <c r="H35" i="102" s="1"/>
  <c r="G41" i="102"/>
  <c r="H41" i="102" s="1"/>
  <c r="G43" i="102"/>
  <c r="H43" i="102" s="1"/>
  <c r="E44" i="102"/>
  <c r="C97" i="100"/>
  <c r="H96" i="100"/>
  <c r="G95" i="100"/>
  <c r="D94" i="100"/>
  <c r="E94" i="100" s="1"/>
  <c r="M13" i="91"/>
  <c r="M25" i="91"/>
  <c r="M19" i="91"/>
  <c r="M14" i="91"/>
  <c r="M15" i="91"/>
  <c r="M16" i="91"/>
  <c r="M17" i="91"/>
  <c r="M18" i="91"/>
  <c r="M11" i="91"/>
  <c r="M24" i="91"/>
  <c r="M12" i="91"/>
  <c r="M23" i="91"/>
  <c r="M20" i="91"/>
  <c r="M21" i="91"/>
  <c r="M22" i="91"/>
  <c r="K20" i="91"/>
  <c r="K16" i="91"/>
  <c r="K19" i="91"/>
  <c r="K24" i="91"/>
  <c r="K15" i="91"/>
  <c r="K13" i="91"/>
  <c r="K11" i="91"/>
  <c r="K17" i="91"/>
  <c r="K23" i="91"/>
  <c r="K22" i="91"/>
  <c r="K18" i="91"/>
  <c r="K12" i="91"/>
  <c r="K21" i="91"/>
  <c r="K14" i="91"/>
  <c r="K25" i="91"/>
  <c r="I19" i="91"/>
  <c r="I23" i="91"/>
  <c r="I20" i="91"/>
  <c r="I24" i="91"/>
  <c r="I25" i="91"/>
  <c r="I21" i="91"/>
  <c r="I11" i="91"/>
  <c r="I12" i="91"/>
  <c r="I13" i="91"/>
  <c r="I22" i="91"/>
  <c r="I14" i="91"/>
  <c r="I15" i="91"/>
  <c r="I16" i="91"/>
  <c r="I17" i="91"/>
  <c r="I18" i="91"/>
  <c r="G16" i="91"/>
  <c r="G17" i="91"/>
  <c r="G18" i="91"/>
  <c r="G20" i="91"/>
  <c r="G19" i="91"/>
  <c r="G21" i="91"/>
  <c r="G15" i="91"/>
  <c r="G22" i="91"/>
  <c r="G23" i="91"/>
  <c r="G24" i="91"/>
  <c r="G25" i="91"/>
  <c r="G12" i="91"/>
  <c r="G14" i="91"/>
  <c r="G11" i="91"/>
  <c r="G13" i="91"/>
  <c r="E13" i="91"/>
  <c r="E25" i="91"/>
  <c r="E14" i="91"/>
  <c r="E15" i="91"/>
  <c r="E18" i="91"/>
  <c r="E16" i="91"/>
  <c r="E17" i="91"/>
  <c r="E24" i="91"/>
  <c r="E11" i="91"/>
  <c r="E12" i="91"/>
  <c r="E21" i="91"/>
  <c r="E23" i="91"/>
  <c r="E20" i="91"/>
  <c r="E19" i="91"/>
  <c r="E22" i="91"/>
  <c r="D48" i="91"/>
  <c r="D49" i="91"/>
  <c r="H72" i="65"/>
  <c r="F72" i="65"/>
  <c r="E72" i="65"/>
  <c r="I72" i="65"/>
  <c r="O72" i="65"/>
  <c r="G72" i="65"/>
  <c r="N72" i="65"/>
  <c r="D34" i="91"/>
  <c r="L72" i="65"/>
  <c r="D47" i="91"/>
  <c r="D45" i="91"/>
  <c r="D43" i="91"/>
  <c r="D41" i="91"/>
  <c r="D38" i="91"/>
  <c r="D35" i="91"/>
  <c r="J72" i="65"/>
  <c r="D72" i="65"/>
  <c r="M72" i="65"/>
  <c r="D46" i="91"/>
  <c r="D44" i="91"/>
  <c r="D42" i="91"/>
  <c r="D40" i="91"/>
  <c r="D39" i="91"/>
  <c r="D37" i="91"/>
  <c r="D36" i="91"/>
  <c r="D33" i="91"/>
  <c r="K72" i="65"/>
  <c r="P96" i="65"/>
  <c r="P50" i="65"/>
  <c r="P28" i="65"/>
  <c r="H30" i="102"/>
  <c r="J30" i="102" s="1"/>
  <c r="K30" i="102" s="1"/>
  <c r="H8" i="101"/>
  <c r="J18" i="101" s="1"/>
  <c r="K18" i="101" s="1"/>
  <c r="E22" i="102"/>
  <c r="E26" i="101"/>
  <c r="G9" i="101"/>
  <c r="H9" i="101" s="1"/>
  <c r="P136" i="65"/>
  <c r="P139" i="65"/>
  <c r="P137" i="65"/>
  <c r="P135" i="65"/>
  <c r="P138" i="65"/>
  <c r="G44" i="102" l="1"/>
  <c r="H32" i="102"/>
  <c r="G96" i="100"/>
  <c r="D95" i="100"/>
  <c r="E95" i="100" s="1"/>
  <c r="C98" i="100"/>
  <c r="D52" i="91"/>
  <c r="D60" i="14"/>
  <c r="D38" i="14"/>
  <c r="E38" i="91"/>
  <c r="E65" i="14" s="1"/>
  <c r="D65" i="14"/>
  <c r="D36" i="14"/>
  <c r="E36" i="91"/>
  <c r="E63" i="14" s="1"/>
  <c r="D63" i="14"/>
  <c r="D41" i="14"/>
  <c r="E41" i="91"/>
  <c r="E68" i="14" s="1"/>
  <c r="D68" i="14"/>
  <c r="D43" i="14"/>
  <c r="E43" i="91"/>
  <c r="E70" i="14" s="1"/>
  <c r="D70" i="14"/>
  <c r="D47" i="14"/>
  <c r="D74" i="14"/>
  <c r="E47" i="91"/>
  <c r="E74" i="14" s="1"/>
  <c r="E37" i="91"/>
  <c r="E64" i="14" s="1"/>
  <c r="D64" i="14"/>
  <c r="D45" i="14"/>
  <c r="E45" i="91"/>
  <c r="E72" i="14" s="1"/>
  <c r="D72" i="14"/>
  <c r="D42" i="14"/>
  <c r="E42" i="91"/>
  <c r="E69" i="14" s="1"/>
  <c r="D69" i="14"/>
  <c r="D46" i="14"/>
  <c r="D73" i="14"/>
  <c r="E46" i="91"/>
  <c r="E73" i="14" s="1"/>
  <c r="D35" i="14"/>
  <c r="E35" i="91"/>
  <c r="E62" i="14" s="1"/>
  <c r="D62" i="14"/>
  <c r="D39" i="14"/>
  <c r="E39" i="91"/>
  <c r="E66" i="14" s="1"/>
  <c r="D66" i="14"/>
  <c r="D34" i="14"/>
  <c r="D61" i="14"/>
  <c r="E34" i="91"/>
  <c r="D40" i="14"/>
  <c r="D67" i="14"/>
  <c r="E40" i="91"/>
  <c r="E67" i="14" s="1"/>
  <c r="D49" i="14"/>
  <c r="E49" i="91"/>
  <c r="E76" i="14" s="1"/>
  <c r="D76" i="14"/>
  <c r="D48" i="14"/>
  <c r="D75" i="14"/>
  <c r="E48" i="91"/>
  <c r="E75" i="14" s="1"/>
  <c r="D44" i="14"/>
  <c r="D71" i="14"/>
  <c r="E44" i="91"/>
  <c r="E71" i="14" s="1"/>
  <c r="F37" i="91"/>
  <c r="D37" i="14"/>
  <c r="G26" i="101"/>
  <c r="F49" i="91"/>
  <c r="F34" i="91"/>
  <c r="F33" i="91"/>
  <c r="F46" i="91"/>
  <c r="F44" i="91"/>
  <c r="F41" i="91"/>
  <c r="F36" i="91"/>
  <c r="F43" i="91"/>
  <c r="P72" i="65"/>
  <c r="F35" i="91"/>
  <c r="F42" i="91"/>
  <c r="F38" i="91"/>
  <c r="D33" i="14"/>
  <c r="H37" i="91"/>
  <c r="F48" i="91"/>
  <c r="F45" i="91"/>
  <c r="F40" i="91"/>
  <c r="F47" i="91"/>
  <c r="F39" i="91"/>
  <c r="H44" i="102"/>
  <c r="J17" i="101"/>
  <c r="K17" i="101" s="1"/>
  <c r="H8" i="102"/>
  <c r="J53" i="101"/>
  <c r="K53" i="101" s="1"/>
  <c r="J23" i="101"/>
  <c r="K23" i="101" s="1"/>
  <c r="J39" i="101"/>
  <c r="K39" i="101" s="1"/>
  <c r="J51" i="101"/>
  <c r="K51" i="101" s="1"/>
  <c r="J37" i="101"/>
  <c r="J47" i="101"/>
  <c r="K47" i="101" s="1"/>
  <c r="J24" i="101"/>
  <c r="K24" i="101" s="1"/>
  <c r="J41" i="101"/>
  <c r="K41" i="101" s="1"/>
  <c r="J42" i="101"/>
  <c r="K42" i="101" s="1"/>
  <c r="J49" i="101"/>
  <c r="K49" i="101" s="1"/>
  <c r="J38" i="101"/>
  <c r="K38" i="101" s="1"/>
  <c r="J40" i="101"/>
  <c r="K40" i="101" s="1"/>
  <c r="J43" i="101"/>
  <c r="K43" i="101" s="1"/>
  <c r="J48" i="101"/>
  <c r="K48" i="101" s="1"/>
  <c r="H26" i="101"/>
  <c r="J45" i="101"/>
  <c r="K45" i="101" s="1"/>
  <c r="J52" i="101"/>
  <c r="K52" i="101" s="1"/>
  <c r="J46" i="101"/>
  <c r="K46" i="101" s="1"/>
  <c r="J44" i="101"/>
  <c r="K44" i="101" s="1"/>
  <c r="J50" i="101"/>
  <c r="K50" i="101" s="1"/>
  <c r="J8" i="101"/>
  <c r="J25" i="101"/>
  <c r="K25" i="101" s="1"/>
  <c r="J14" i="101"/>
  <c r="K14" i="101" s="1"/>
  <c r="J20" i="101"/>
  <c r="K20" i="101" s="1"/>
  <c r="J22" i="101"/>
  <c r="K22" i="101" s="1"/>
  <c r="J13" i="101"/>
  <c r="K13" i="101" s="1"/>
  <c r="J19" i="101"/>
  <c r="K19" i="101" s="1"/>
  <c r="J10" i="101"/>
  <c r="K10" i="101" s="1"/>
  <c r="J9" i="101"/>
  <c r="K9" i="101" s="1"/>
  <c r="J11" i="101"/>
  <c r="K11" i="101" s="1"/>
  <c r="J15" i="101"/>
  <c r="K15" i="101" s="1"/>
  <c r="J12" i="101"/>
  <c r="K12" i="101" s="1"/>
  <c r="J21" i="101"/>
  <c r="K21" i="101" s="1"/>
  <c r="J16" i="101"/>
  <c r="K16" i="101" s="1"/>
  <c r="E26" i="91"/>
  <c r="I26" i="91"/>
  <c r="O26" i="91"/>
  <c r="M26" i="91"/>
  <c r="G26" i="91"/>
  <c r="K26" i="91"/>
  <c r="D80" i="76" l="1"/>
  <c r="E80" i="76" s="1"/>
  <c r="D79" i="76"/>
  <c r="E79" i="76" s="1"/>
  <c r="C99" i="100"/>
  <c r="D96" i="100"/>
  <c r="G97" i="100"/>
  <c r="D52" i="14"/>
  <c r="F46" i="92"/>
  <c r="G71" i="14"/>
  <c r="G128" i="14" s="1"/>
  <c r="J64" i="14"/>
  <c r="J121" i="14" s="1"/>
  <c r="H39" i="92"/>
  <c r="F43" i="92"/>
  <c r="G68" i="14"/>
  <c r="G125" i="14" s="1"/>
  <c r="F47" i="92"/>
  <c r="G72" i="14"/>
  <c r="G129" i="14" s="1"/>
  <c r="F36" i="92"/>
  <c r="G61" i="14"/>
  <c r="G118" i="14" s="1"/>
  <c r="G76" i="14"/>
  <c r="G133" i="14" s="1"/>
  <c r="E61" i="14"/>
  <c r="E50" i="91"/>
  <c r="E77" i="14" s="1"/>
  <c r="E51" i="91"/>
  <c r="E78" i="14" s="1"/>
  <c r="D79" i="14"/>
  <c r="F50" i="92"/>
  <c r="G75" i="14"/>
  <c r="G132" i="14" s="1"/>
  <c r="F48" i="92"/>
  <c r="G73" i="14"/>
  <c r="G130" i="14" s="1"/>
  <c r="F40" i="92"/>
  <c r="G65" i="14"/>
  <c r="F44" i="92"/>
  <c r="G69" i="14"/>
  <c r="G126" i="14" s="1"/>
  <c r="F41" i="92"/>
  <c r="G66" i="14"/>
  <c r="G123" i="14" s="1"/>
  <c r="F45" i="92"/>
  <c r="G70" i="14"/>
  <c r="G127" i="14" s="1"/>
  <c r="D54" i="92"/>
  <c r="F42" i="92"/>
  <c r="G67" i="14"/>
  <c r="F52" i="91"/>
  <c r="F35" i="92"/>
  <c r="G60" i="14"/>
  <c r="F37" i="92"/>
  <c r="G62" i="14"/>
  <c r="G119" i="14" s="1"/>
  <c r="F39" i="92"/>
  <c r="G64" i="14"/>
  <c r="G121" i="14" s="1"/>
  <c r="F49" i="92"/>
  <c r="G74" i="14"/>
  <c r="G131" i="14" s="1"/>
  <c r="F38" i="92"/>
  <c r="G63" i="14"/>
  <c r="G120" i="14" s="1"/>
  <c r="E33" i="91"/>
  <c r="E60" i="14" s="1"/>
  <c r="H49" i="91"/>
  <c r="F51" i="92"/>
  <c r="H22" i="102"/>
  <c r="J49" i="91"/>
  <c r="H41" i="91"/>
  <c r="H45" i="91"/>
  <c r="H43" i="91"/>
  <c r="H33" i="91"/>
  <c r="H47" i="91"/>
  <c r="H46" i="91"/>
  <c r="H38" i="91"/>
  <c r="H34" i="91"/>
  <c r="H35" i="91"/>
  <c r="H36" i="91"/>
  <c r="H44" i="91"/>
  <c r="H40" i="91"/>
  <c r="H48" i="91"/>
  <c r="H39" i="91"/>
  <c r="H42" i="91"/>
  <c r="J37" i="91"/>
  <c r="J26" i="101"/>
  <c r="K8" i="101"/>
  <c r="K26" i="101" s="1"/>
  <c r="K37" i="101"/>
  <c r="K54" i="101" s="1"/>
  <c r="J54" i="101"/>
  <c r="J14" i="102"/>
  <c r="K14" i="102" s="1"/>
  <c r="J19" i="102"/>
  <c r="K19" i="102" s="1"/>
  <c r="J20" i="102"/>
  <c r="K20" i="102" s="1"/>
  <c r="J11" i="102"/>
  <c r="K11" i="102" s="1"/>
  <c r="J8" i="102"/>
  <c r="J35" i="102"/>
  <c r="K35" i="102" s="1"/>
  <c r="J15" i="102"/>
  <c r="K15" i="102" s="1"/>
  <c r="J10" i="102"/>
  <c r="K10" i="102" s="1"/>
  <c r="J34" i="102"/>
  <c r="K34" i="102" s="1"/>
  <c r="J38" i="102"/>
  <c r="K38" i="102" s="1"/>
  <c r="J21" i="102"/>
  <c r="K21" i="102" s="1"/>
  <c r="J9" i="102"/>
  <c r="J43" i="102"/>
  <c r="K43" i="102" s="1"/>
  <c r="J37" i="102"/>
  <c r="K37" i="102" s="1"/>
  <c r="J36" i="102"/>
  <c r="K36" i="102" s="1"/>
  <c r="J16" i="102"/>
  <c r="K16" i="102" s="1"/>
  <c r="J39" i="102"/>
  <c r="K39" i="102" s="1"/>
  <c r="J13" i="102"/>
  <c r="K13" i="102" s="1"/>
  <c r="J18" i="102"/>
  <c r="K18" i="102" s="1"/>
  <c r="J12" i="102"/>
  <c r="K12" i="102" s="1"/>
  <c r="J31" i="102"/>
  <c r="J40" i="102"/>
  <c r="K40" i="102" s="1"/>
  <c r="J41" i="102"/>
  <c r="K41" i="102" s="1"/>
  <c r="J32" i="102"/>
  <c r="K32" i="102" s="1"/>
  <c r="J17" i="102"/>
  <c r="K17" i="102" s="1"/>
  <c r="J42" i="102"/>
  <c r="K42" i="102" s="1"/>
  <c r="J33" i="102"/>
  <c r="K33" i="102" s="1"/>
  <c r="P56" i="65"/>
  <c r="P57" i="65"/>
  <c r="P58" i="65"/>
  <c r="P59" i="65"/>
  <c r="P60" i="65"/>
  <c r="P61" i="65"/>
  <c r="P62" i="65"/>
  <c r="P63" i="65"/>
  <c r="P64" i="65"/>
  <c r="P65" i="65"/>
  <c r="P66" i="65"/>
  <c r="P67" i="65"/>
  <c r="P68" i="65"/>
  <c r="P69" i="65"/>
  <c r="P70" i="65"/>
  <c r="P55" i="65"/>
  <c r="E118" i="65"/>
  <c r="F118" i="65"/>
  <c r="G118" i="65"/>
  <c r="H118" i="65"/>
  <c r="I118" i="65"/>
  <c r="D118" i="65"/>
  <c r="P124" i="65"/>
  <c r="P125" i="65"/>
  <c r="P126" i="65"/>
  <c r="P127" i="65"/>
  <c r="P128" i="65"/>
  <c r="P129" i="65"/>
  <c r="P130" i="65"/>
  <c r="P131" i="65"/>
  <c r="P132" i="65"/>
  <c r="P133" i="65"/>
  <c r="P134" i="65"/>
  <c r="P123" i="65"/>
  <c r="E140" i="65"/>
  <c r="F140" i="65"/>
  <c r="G140" i="65"/>
  <c r="H140" i="65"/>
  <c r="I140" i="65"/>
  <c r="D140" i="65"/>
  <c r="D55" i="14" l="1"/>
  <c r="D82" i="76"/>
  <c r="E82" i="76" s="1"/>
  <c r="D81" i="76"/>
  <c r="E81" i="76" s="1"/>
  <c r="I96" i="100"/>
  <c r="J96" i="100" s="1"/>
  <c r="E96" i="100"/>
  <c r="G98" i="100"/>
  <c r="D97" i="100"/>
  <c r="C100" i="100"/>
  <c r="G35" i="14"/>
  <c r="G92" i="14" s="1"/>
  <c r="G34" i="14"/>
  <c r="G91" i="14" s="1"/>
  <c r="G38" i="14"/>
  <c r="G42" i="14"/>
  <c r="G99" i="14" s="1"/>
  <c r="G36" i="14"/>
  <c r="G93" i="14" s="1"/>
  <c r="E48" i="92"/>
  <c r="E46" i="14" s="1"/>
  <c r="E36" i="92"/>
  <c r="E34" i="14" s="1"/>
  <c r="E44" i="92"/>
  <c r="E42" i="14" s="1"/>
  <c r="E35" i="92"/>
  <c r="E33" i="14" s="1"/>
  <c r="E52" i="92"/>
  <c r="E50" i="14" s="1"/>
  <c r="F50" i="14" s="1"/>
  <c r="D54" i="76" s="1"/>
  <c r="E54" i="76" s="1"/>
  <c r="E39" i="92"/>
  <c r="E37" i="14" s="1"/>
  <c r="E45" i="92"/>
  <c r="E43" i="14" s="1"/>
  <c r="E37" i="92"/>
  <c r="E35" i="14" s="1"/>
  <c r="E38" i="92"/>
  <c r="E36" i="14" s="1"/>
  <c r="E46" i="92"/>
  <c r="E44" i="14" s="1"/>
  <c r="E53" i="92"/>
  <c r="E51" i="14" s="1"/>
  <c r="F51" i="14" s="1"/>
  <c r="D55" i="76" s="1"/>
  <c r="E55" i="76" s="1"/>
  <c r="E40" i="92"/>
  <c r="E38" i="14" s="1"/>
  <c r="E47" i="92"/>
  <c r="E45" i="14" s="1"/>
  <c r="E42" i="92"/>
  <c r="E40" i="14" s="1"/>
  <c r="E43" i="92"/>
  <c r="E41" i="14" s="1"/>
  <c r="E49" i="92"/>
  <c r="E47" i="14" s="1"/>
  <c r="E41" i="92"/>
  <c r="E39" i="14" s="1"/>
  <c r="E50" i="92"/>
  <c r="E48" i="14" s="1"/>
  <c r="F48" i="14" s="1"/>
  <c r="D52" i="76" s="1"/>
  <c r="E52" i="76" s="1"/>
  <c r="E51" i="92"/>
  <c r="E49" i="14" s="1"/>
  <c r="F49" i="14" s="1"/>
  <c r="D53" i="76" s="1"/>
  <c r="E53" i="76" s="1"/>
  <c r="J37" i="14"/>
  <c r="J94" i="14" s="1"/>
  <c r="G33" i="14"/>
  <c r="G47" i="14"/>
  <c r="G104" i="14" s="1"/>
  <c r="G43" i="14"/>
  <c r="G100" i="14" s="1"/>
  <c r="G46" i="14"/>
  <c r="G103" i="14" s="1"/>
  <c r="G40" i="14"/>
  <c r="G48" i="14"/>
  <c r="G105" i="14" s="1"/>
  <c r="G44" i="14"/>
  <c r="G101" i="14" s="1"/>
  <c r="G49" i="14"/>
  <c r="G106" i="14" s="1"/>
  <c r="G45" i="14"/>
  <c r="G102" i="14" s="1"/>
  <c r="G41" i="14"/>
  <c r="G98" i="14" s="1"/>
  <c r="G37" i="14"/>
  <c r="G94" i="14" s="1"/>
  <c r="G39" i="14"/>
  <c r="G96" i="14" s="1"/>
  <c r="J75" i="14"/>
  <c r="J132" i="14" s="1"/>
  <c r="H50" i="92"/>
  <c r="H45" i="92"/>
  <c r="J70" i="14"/>
  <c r="J127" i="14" s="1"/>
  <c r="G50" i="91"/>
  <c r="H77" i="14" s="1"/>
  <c r="H134" i="14" s="1"/>
  <c r="G51" i="91"/>
  <c r="H78" i="14" s="1"/>
  <c r="H135" i="14" s="1"/>
  <c r="G79" i="14"/>
  <c r="G136" i="14" s="1"/>
  <c r="H38" i="92"/>
  <c r="J63" i="14"/>
  <c r="J120" i="14" s="1"/>
  <c r="G36" i="91"/>
  <c r="H63" i="14" s="1"/>
  <c r="H120" i="14" s="1"/>
  <c r="G39" i="91"/>
  <c r="H66" i="14" s="1"/>
  <c r="H123" i="14" s="1"/>
  <c r="G48" i="91"/>
  <c r="H75" i="14" s="1"/>
  <c r="H132" i="14" s="1"/>
  <c r="J74" i="14"/>
  <c r="J131" i="14" s="1"/>
  <c r="H49" i="92"/>
  <c r="F54" i="92"/>
  <c r="G36" i="92" s="1"/>
  <c r="G45" i="91"/>
  <c r="H72" i="14" s="1"/>
  <c r="H129" i="14" s="1"/>
  <c r="J66" i="14"/>
  <c r="J123" i="14" s="1"/>
  <c r="H41" i="92"/>
  <c r="H52" i="91"/>
  <c r="I43" i="91" s="1"/>
  <c r="K70" i="14" s="1"/>
  <c r="K127" i="14" s="1"/>
  <c r="J60" i="14"/>
  <c r="H35" i="92"/>
  <c r="G33" i="91"/>
  <c r="G42" i="91"/>
  <c r="H69" i="14" s="1"/>
  <c r="H126" i="14" s="1"/>
  <c r="G47" i="91"/>
  <c r="H74" i="14" s="1"/>
  <c r="H131" i="14" s="1"/>
  <c r="G49" i="91"/>
  <c r="H76" i="14" s="1"/>
  <c r="H133" i="14" s="1"/>
  <c r="J67" i="14"/>
  <c r="H42" i="92"/>
  <c r="G38" i="91"/>
  <c r="H65" i="14" s="1"/>
  <c r="H122" i="14" s="1"/>
  <c r="E52" i="91"/>
  <c r="E79" i="14" s="1"/>
  <c r="J39" i="92"/>
  <c r="M64" i="14"/>
  <c r="M121" i="14" s="1"/>
  <c r="G43" i="91"/>
  <c r="H70" i="14" s="1"/>
  <c r="H127" i="14" s="1"/>
  <c r="J38" i="91"/>
  <c r="H40" i="92"/>
  <c r="J65" i="14"/>
  <c r="H47" i="92"/>
  <c r="J72" i="14"/>
  <c r="J129" i="14" s="1"/>
  <c r="G35" i="91"/>
  <c r="H62" i="14" s="1"/>
  <c r="H119" i="14" s="1"/>
  <c r="G46" i="91"/>
  <c r="H73" i="14" s="1"/>
  <c r="H130" i="14" s="1"/>
  <c r="L49" i="91"/>
  <c r="M76" i="14"/>
  <c r="M133" i="14" s="1"/>
  <c r="J51" i="92"/>
  <c r="G41" i="91"/>
  <c r="H68" i="14" s="1"/>
  <c r="H125" i="14" s="1"/>
  <c r="G40" i="91"/>
  <c r="H67" i="14" s="1"/>
  <c r="H124" i="14" s="1"/>
  <c r="G37" i="91"/>
  <c r="H64" i="14" s="1"/>
  <c r="H121" i="14" s="1"/>
  <c r="H36" i="92"/>
  <c r="J61" i="14"/>
  <c r="J118" i="14" s="1"/>
  <c r="J73" i="14"/>
  <c r="J130" i="14" s="1"/>
  <c r="H48" i="92"/>
  <c r="H51" i="92"/>
  <c r="J76" i="14"/>
  <c r="J133" i="14" s="1"/>
  <c r="G34" i="91"/>
  <c r="H61" i="14" s="1"/>
  <c r="H118" i="14" s="1"/>
  <c r="G44" i="91"/>
  <c r="H71" i="14" s="1"/>
  <c r="H128" i="14" s="1"/>
  <c r="H46" i="92"/>
  <c r="J71" i="14"/>
  <c r="J128" i="14" s="1"/>
  <c r="J62" i="14"/>
  <c r="J119" i="14" s="1"/>
  <c r="H37" i="92"/>
  <c r="H44" i="92"/>
  <c r="J69" i="14"/>
  <c r="J126" i="14" s="1"/>
  <c r="H43" i="92"/>
  <c r="J68" i="14"/>
  <c r="J125" i="14" s="1"/>
  <c r="J17" i="94"/>
  <c r="L37" i="91"/>
  <c r="J34" i="91"/>
  <c r="J46" i="91"/>
  <c r="J45" i="91"/>
  <c r="P140" i="65"/>
  <c r="J48" i="91"/>
  <c r="J43" i="91"/>
  <c r="J41" i="91"/>
  <c r="J33" i="91"/>
  <c r="J40" i="91"/>
  <c r="J42" i="91"/>
  <c r="J44" i="91"/>
  <c r="J36" i="91"/>
  <c r="J47" i="91"/>
  <c r="L38" i="91"/>
  <c r="J39" i="91"/>
  <c r="J35" i="91"/>
  <c r="J44" i="102"/>
  <c r="K9" i="102"/>
  <c r="J22" i="102"/>
  <c r="K31" i="102"/>
  <c r="K44" i="102" s="1"/>
  <c r="K8" i="102"/>
  <c r="P118" i="65"/>
  <c r="G10" i="3"/>
  <c r="F10" i="3"/>
  <c r="G9" i="3"/>
  <c r="G12" i="3" s="1"/>
  <c r="G13" i="3" s="1"/>
  <c r="H9" i="3"/>
  <c r="I9" i="3"/>
  <c r="I12" i="3" s="1"/>
  <c r="I13" i="3" s="1"/>
  <c r="J9" i="3"/>
  <c r="F9" i="3"/>
  <c r="B10" i="44"/>
  <c r="B11" i="44" s="1"/>
  <c r="B12" i="44" s="1"/>
  <c r="B13" i="44" s="1"/>
  <c r="B14" i="44" s="1"/>
  <c r="I49" i="91" l="1"/>
  <c r="K76" i="14" s="1"/>
  <c r="K133" i="14" s="1"/>
  <c r="I47" i="91"/>
  <c r="K74" i="14" s="1"/>
  <c r="K131" i="14" s="1"/>
  <c r="I41" i="91"/>
  <c r="K68" i="14" s="1"/>
  <c r="K125" i="14" s="1"/>
  <c r="I33" i="91"/>
  <c r="H60" i="14"/>
  <c r="H117" i="14" s="1"/>
  <c r="G52" i="91"/>
  <c r="H79" i="14" s="1"/>
  <c r="H136" i="14" s="1"/>
  <c r="I36" i="91"/>
  <c r="K63" i="14" s="1"/>
  <c r="K120" i="14" s="1"/>
  <c r="I44" i="91"/>
  <c r="K71" i="14" s="1"/>
  <c r="K128" i="14" s="1"/>
  <c r="I42" i="91"/>
  <c r="K69" i="14" s="1"/>
  <c r="K126" i="14" s="1"/>
  <c r="I40" i="91"/>
  <c r="K67" i="14" s="1"/>
  <c r="K124" i="14" s="1"/>
  <c r="I35" i="91"/>
  <c r="K62" i="14" s="1"/>
  <c r="K119" i="14" s="1"/>
  <c r="I45" i="91"/>
  <c r="K72" i="14" s="1"/>
  <c r="K129" i="14" s="1"/>
  <c r="I34" i="91"/>
  <c r="K61" i="14" s="1"/>
  <c r="K118" i="14" s="1"/>
  <c r="I38" i="91"/>
  <c r="K65" i="14" s="1"/>
  <c r="K122" i="14" s="1"/>
  <c r="E97" i="100"/>
  <c r="C101" i="100"/>
  <c r="G99" i="100"/>
  <c r="D98" i="100"/>
  <c r="E98" i="100" s="1"/>
  <c r="J44" i="14"/>
  <c r="J101" i="14" s="1"/>
  <c r="I76" i="14"/>
  <c r="I133" i="14" s="1"/>
  <c r="I74" i="14"/>
  <c r="I131" i="14" s="1"/>
  <c r="J47" i="14"/>
  <c r="J104" i="14" s="1"/>
  <c r="G49" i="92"/>
  <c r="H47" i="14" s="1"/>
  <c r="J48" i="14"/>
  <c r="J105" i="14" s="1"/>
  <c r="G44" i="92"/>
  <c r="H42" i="14" s="1"/>
  <c r="G50" i="92"/>
  <c r="H48" i="14" s="1"/>
  <c r="G40" i="92"/>
  <c r="H38" i="14" s="1"/>
  <c r="I63" i="14"/>
  <c r="I120" i="14" s="1"/>
  <c r="G42" i="92"/>
  <c r="H40" i="14" s="1"/>
  <c r="J42" i="14"/>
  <c r="J99" i="14" s="1"/>
  <c r="J46" i="14"/>
  <c r="J103" i="14" s="1"/>
  <c r="I62" i="14"/>
  <c r="I119" i="14" s="1"/>
  <c r="L70" i="14"/>
  <c r="L127" i="14" s="1"/>
  <c r="J36" i="14"/>
  <c r="J93" i="14" s="1"/>
  <c r="G53" i="92"/>
  <c r="H51" i="14" s="1"/>
  <c r="G52" i="92"/>
  <c r="H50" i="14" s="1"/>
  <c r="I77" i="14"/>
  <c r="I134" i="14" s="1"/>
  <c r="J38" i="14"/>
  <c r="I70" i="14"/>
  <c r="J41" i="14"/>
  <c r="J98" i="14" s="1"/>
  <c r="I66" i="14"/>
  <c r="I123" i="14" s="1"/>
  <c r="J39" i="14"/>
  <c r="J96" i="14" s="1"/>
  <c r="G48" i="92"/>
  <c r="H46" i="14" s="1"/>
  <c r="I64" i="14"/>
  <c r="I121" i="14" s="1"/>
  <c r="G38" i="92"/>
  <c r="H36" i="14" s="1"/>
  <c r="I67" i="14"/>
  <c r="I124" i="14" s="1"/>
  <c r="G52" i="14"/>
  <c r="M49" i="14"/>
  <c r="M106" i="14" s="1"/>
  <c r="I75" i="14"/>
  <c r="I132" i="14" s="1"/>
  <c r="J33" i="14"/>
  <c r="I65" i="14"/>
  <c r="I122" i="14" s="1"/>
  <c r="G43" i="92"/>
  <c r="H41" i="14" s="1"/>
  <c r="J45" i="14"/>
  <c r="J102" i="14" s="1"/>
  <c r="G37" i="92"/>
  <c r="H35" i="14" s="1"/>
  <c r="G51" i="92"/>
  <c r="H49" i="14" s="1"/>
  <c r="J43" i="14"/>
  <c r="J100" i="14" s="1"/>
  <c r="I71" i="14"/>
  <c r="I128" i="14" s="1"/>
  <c r="I68" i="14"/>
  <c r="I69" i="14"/>
  <c r="I126" i="14" s="1"/>
  <c r="G46" i="92"/>
  <c r="H44" i="14" s="1"/>
  <c r="I61" i="14"/>
  <c r="I118" i="14" s="1"/>
  <c r="G41" i="92"/>
  <c r="H39" i="14" s="1"/>
  <c r="J49" i="14"/>
  <c r="J106" i="14" s="1"/>
  <c r="I73" i="14"/>
  <c r="M37" i="14"/>
  <c r="M94" i="14" s="1"/>
  <c r="G39" i="92"/>
  <c r="H37" i="14" s="1"/>
  <c r="G35" i="92"/>
  <c r="H33" i="14" s="1"/>
  <c r="J35" i="14"/>
  <c r="J92" i="14" s="1"/>
  <c r="J34" i="14"/>
  <c r="J91" i="14" s="1"/>
  <c r="J40" i="14"/>
  <c r="I72" i="14"/>
  <c r="I129" i="14" s="1"/>
  <c r="I78" i="14"/>
  <c r="G47" i="92"/>
  <c r="H45" i="14" s="1"/>
  <c r="G45" i="92"/>
  <c r="H43" i="14" s="1"/>
  <c r="J35" i="92"/>
  <c r="J52" i="91"/>
  <c r="K38" i="91" s="1"/>
  <c r="N65" i="14" s="1"/>
  <c r="N122" i="14" s="1"/>
  <c r="M60" i="14"/>
  <c r="P76" i="14"/>
  <c r="P133" i="14" s="1"/>
  <c r="L51" i="92"/>
  <c r="M68" i="14"/>
  <c r="M125" i="14" s="1"/>
  <c r="J43" i="92"/>
  <c r="J46" i="92"/>
  <c r="M71" i="14"/>
  <c r="M128" i="14" s="1"/>
  <c r="J47" i="92"/>
  <c r="M72" i="14"/>
  <c r="M129" i="14" s="1"/>
  <c r="M73" i="14"/>
  <c r="M130" i="14" s="1"/>
  <c r="J48" i="92"/>
  <c r="J37" i="92"/>
  <c r="M62" i="14"/>
  <c r="M119" i="14" s="1"/>
  <c r="J36" i="92"/>
  <c r="M61" i="14"/>
  <c r="M118" i="14" s="1"/>
  <c r="J50" i="92"/>
  <c r="M75" i="14"/>
  <c r="M132" i="14" s="1"/>
  <c r="H54" i="92"/>
  <c r="I45" i="92" s="1"/>
  <c r="I51" i="91"/>
  <c r="K78" i="14" s="1"/>
  <c r="K135" i="14" s="1"/>
  <c r="J79" i="14"/>
  <c r="J136" i="14" s="1"/>
  <c r="I50" i="91"/>
  <c r="K77" i="14" s="1"/>
  <c r="K134" i="14" s="1"/>
  <c r="I37" i="91"/>
  <c r="K64" i="14" s="1"/>
  <c r="K121" i="14" s="1"/>
  <c r="M66" i="14"/>
  <c r="M123" i="14" s="1"/>
  <c r="J41" i="92"/>
  <c r="L40" i="92"/>
  <c r="P65" i="14"/>
  <c r="L39" i="92"/>
  <c r="P64" i="14"/>
  <c r="P121" i="14" s="1"/>
  <c r="E54" i="92"/>
  <c r="E52" i="14" s="1"/>
  <c r="M65" i="14"/>
  <c r="J40" i="92"/>
  <c r="I39" i="91"/>
  <c r="K66" i="14" s="1"/>
  <c r="K123" i="14" s="1"/>
  <c r="I48" i="91"/>
  <c r="K75" i="14" s="1"/>
  <c r="K132" i="14" s="1"/>
  <c r="J44" i="92"/>
  <c r="M69" i="14"/>
  <c r="M126" i="14" s="1"/>
  <c r="J45" i="92"/>
  <c r="M70" i="14"/>
  <c r="M127" i="14" s="1"/>
  <c r="M74" i="14"/>
  <c r="M131" i="14" s="1"/>
  <c r="J49" i="92"/>
  <c r="J38" i="92"/>
  <c r="M63" i="14"/>
  <c r="M120" i="14" s="1"/>
  <c r="M67" i="14"/>
  <c r="J42" i="92"/>
  <c r="I46" i="91"/>
  <c r="K73" i="14" s="1"/>
  <c r="K130" i="14" s="1"/>
  <c r="H34" i="14"/>
  <c r="J12" i="94"/>
  <c r="H8" i="94"/>
  <c r="J13" i="94"/>
  <c r="J9" i="94"/>
  <c r="J16" i="94"/>
  <c r="J10" i="94"/>
  <c r="J14" i="94"/>
  <c r="J15" i="94"/>
  <c r="K22" i="102"/>
  <c r="L41" i="91"/>
  <c r="L42" i="91"/>
  <c r="L47" i="91"/>
  <c r="M33" i="14"/>
  <c r="L33" i="91"/>
  <c r="L43" i="91"/>
  <c r="L48" i="91"/>
  <c r="L39" i="91"/>
  <c r="L36" i="91"/>
  <c r="L46" i="91"/>
  <c r="H10" i="3"/>
  <c r="H11" i="3" s="1"/>
  <c r="L34" i="91"/>
  <c r="L35" i="91"/>
  <c r="L44" i="91"/>
  <c r="L40" i="91"/>
  <c r="L45" i="91"/>
  <c r="J12" i="3"/>
  <c r="J13" i="3" s="1"/>
  <c r="F12" i="3"/>
  <c r="F13" i="3" s="1"/>
  <c r="H12" i="3"/>
  <c r="H13" i="3" s="1"/>
  <c r="G11" i="3"/>
  <c r="F11" i="3"/>
  <c r="H11" i="76"/>
  <c r="I11" i="76" s="1"/>
  <c r="I30" i="76" s="1"/>
  <c r="F10" i="14"/>
  <c r="D11" i="76" s="1"/>
  <c r="D30" i="76" s="1"/>
  <c r="I8" i="94" l="1"/>
  <c r="I22" i="94" s="1"/>
  <c r="I25" i="14" s="1"/>
  <c r="I49" i="104"/>
  <c r="I63" i="104" s="1"/>
  <c r="L74" i="14"/>
  <c r="L131" i="14" s="1"/>
  <c r="L76" i="14"/>
  <c r="L133" i="14" s="1"/>
  <c r="L65" i="14"/>
  <c r="L122" i="14" s="1"/>
  <c r="K40" i="91"/>
  <c r="N67" i="14" s="1"/>
  <c r="N124" i="14" s="1"/>
  <c r="L72" i="14"/>
  <c r="H76" i="76" s="1"/>
  <c r="I76" i="76" s="1"/>
  <c r="K47" i="91"/>
  <c r="N74" i="14" s="1"/>
  <c r="N131" i="14" s="1"/>
  <c r="L67" i="14"/>
  <c r="L124" i="14" s="1"/>
  <c r="L63" i="14"/>
  <c r="L120" i="14" s="1"/>
  <c r="K46" i="91"/>
  <c r="N73" i="14" s="1"/>
  <c r="N130" i="14" s="1"/>
  <c r="K42" i="91"/>
  <c r="N69" i="14" s="1"/>
  <c r="N126" i="14" s="1"/>
  <c r="K39" i="91"/>
  <c r="N66" i="14" s="1"/>
  <c r="N123" i="14" s="1"/>
  <c r="K34" i="91"/>
  <c r="N61" i="14" s="1"/>
  <c r="N118" i="14" s="1"/>
  <c r="K35" i="91"/>
  <c r="N62" i="14" s="1"/>
  <c r="N119" i="14" s="1"/>
  <c r="L68" i="14"/>
  <c r="L125" i="14" s="1"/>
  <c r="I46" i="14"/>
  <c r="I103" i="14" s="1"/>
  <c r="H103" i="14"/>
  <c r="I42" i="14"/>
  <c r="F46" i="76" s="1"/>
  <c r="G46" i="76" s="1"/>
  <c r="H99" i="14"/>
  <c r="I47" i="14"/>
  <c r="I104" i="14" s="1"/>
  <c r="H104" i="14"/>
  <c r="I35" i="14"/>
  <c r="F39" i="76" s="1"/>
  <c r="G39" i="76" s="1"/>
  <c r="H92" i="14"/>
  <c r="I44" i="14"/>
  <c r="F48" i="76" s="1"/>
  <c r="G48" i="76" s="1"/>
  <c r="H101" i="14"/>
  <c r="I41" i="14"/>
  <c r="F45" i="76" s="1"/>
  <c r="G45" i="76" s="1"/>
  <c r="H98" i="14"/>
  <c r="L62" i="14"/>
  <c r="L119" i="14" s="1"/>
  <c r="I40" i="14"/>
  <c r="F44" i="76" s="1"/>
  <c r="G44" i="76" s="1"/>
  <c r="H97" i="14"/>
  <c r="I39" i="14"/>
  <c r="I96" i="14" s="1"/>
  <c r="H96" i="14"/>
  <c r="K36" i="91"/>
  <c r="N63" i="14" s="1"/>
  <c r="N120" i="14" s="1"/>
  <c r="I33" i="14"/>
  <c r="I90" i="14" s="1"/>
  <c r="H90" i="14"/>
  <c r="I37" i="14"/>
  <c r="F41" i="76" s="1"/>
  <c r="G41" i="76" s="1"/>
  <c r="H94" i="14"/>
  <c r="G54" i="14"/>
  <c r="G109" i="14"/>
  <c r="L71" i="14"/>
  <c r="L128" i="14" s="1"/>
  <c r="L69" i="14"/>
  <c r="L126" i="14" s="1"/>
  <c r="I49" i="14"/>
  <c r="I106" i="14" s="1"/>
  <c r="H106" i="14"/>
  <c r="K60" i="14"/>
  <c r="I52" i="91"/>
  <c r="K43" i="91"/>
  <c r="N70" i="14" s="1"/>
  <c r="N127" i="14" s="1"/>
  <c r="M79" i="14"/>
  <c r="M136" i="14" s="1"/>
  <c r="I34" i="14"/>
  <c r="F38" i="76" s="1"/>
  <c r="G38" i="76" s="1"/>
  <c r="H91" i="14"/>
  <c r="I50" i="14"/>
  <c r="I107" i="14" s="1"/>
  <c r="H107" i="14"/>
  <c r="I48" i="14"/>
  <c r="F52" i="76" s="1"/>
  <c r="G52" i="76" s="1"/>
  <c r="H105" i="14"/>
  <c r="I43" i="14"/>
  <c r="I100" i="14" s="1"/>
  <c r="H100" i="14"/>
  <c r="I36" i="14"/>
  <c r="F40" i="76" s="1"/>
  <c r="G40" i="76" s="1"/>
  <c r="H93" i="14"/>
  <c r="I38" i="14"/>
  <c r="I95" i="14" s="1"/>
  <c r="H95" i="14"/>
  <c r="K48" i="91"/>
  <c r="N75" i="14" s="1"/>
  <c r="N132" i="14" s="1"/>
  <c r="K45" i="91"/>
  <c r="N72" i="14" s="1"/>
  <c r="N129" i="14" s="1"/>
  <c r="I45" i="14"/>
  <c r="F49" i="76" s="1"/>
  <c r="G49" i="76" s="1"/>
  <c r="H102" i="14"/>
  <c r="L61" i="14"/>
  <c r="L118" i="14" s="1"/>
  <c r="I51" i="14"/>
  <c r="F55" i="76" s="1"/>
  <c r="G55" i="76" s="1"/>
  <c r="H108" i="14"/>
  <c r="I60" i="14"/>
  <c r="F64" i="76" s="1"/>
  <c r="F51" i="76"/>
  <c r="G51" i="76" s="1"/>
  <c r="F50" i="76"/>
  <c r="G50" i="76" s="1"/>
  <c r="F72" i="76"/>
  <c r="G72" i="76" s="1"/>
  <c r="I125" i="14"/>
  <c r="F74" i="76"/>
  <c r="G74" i="76" s="1"/>
  <c r="I127" i="14"/>
  <c r="F77" i="76"/>
  <c r="G77" i="76" s="1"/>
  <c r="I130" i="14"/>
  <c r="H75" i="76"/>
  <c r="I75" i="76" s="1"/>
  <c r="F82" i="76"/>
  <c r="G82" i="76" s="1"/>
  <c r="I135" i="14"/>
  <c r="I105" i="14"/>
  <c r="I35" i="92"/>
  <c r="K33" i="14" s="1"/>
  <c r="I49" i="92"/>
  <c r="K47" i="14" s="1"/>
  <c r="I40" i="92"/>
  <c r="K38" i="14" s="1"/>
  <c r="I42" i="92"/>
  <c r="K40" i="14" s="1"/>
  <c r="I38" i="92"/>
  <c r="K36" i="14" s="1"/>
  <c r="H80" i="76"/>
  <c r="I80" i="76" s="1"/>
  <c r="H74" i="76"/>
  <c r="I74" i="76" s="1"/>
  <c r="H78" i="76"/>
  <c r="I78" i="76" s="1"/>
  <c r="F78" i="76"/>
  <c r="G78" i="76" s="1"/>
  <c r="F73" i="76"/>
  <c r="G73" i="76" s="1"/>
  <c r="F69" i="76"/>
  <c r="G69" i="76" s="1"/>
  <c r="F70" i="76"/>
  <c r="G70" i="76" s="1"/>
  <c r="F65" i="76"/>
  <c r="G65" i="76" s="1"/>
  <c r="F67" i="76"/>
  <c r="G67" i="76" s="1"/>
  <c r="F76" i="76"/>
  <c r="G76" i="76" s="1"/>
  <c r="F71" i="76"/>
  <c r="G71" i="76" s="1"/>
  <c r="F68" i="76"/>
  <c r="G68" i="76" s="1"/>
  <c r="F81" i="76"/>
  <c r="G81" i="76" s="1"/>
  <c r="F75" i="76"/>
  <c r="G75" i="76" s="1"/>
  <c r="F80" i="76"/>
  <c r="G80" i="76" s="1"/>
  <c r="F79" i="76"/>
  <c r="G79" i="76" s="1"/>
  <c r="F66" i="76"/>
  <c r="G66" i="76" s="1"/>
  <c r="C102" i="100"/>
  <c r="D99" i="100"/>
  <c r="E99" i="100" s="1"/>
  <c r="G100" i="100"/>
  <c r="L66" i="14"/>
  <c r="L123" i="14" s="1"/>
  <c r="L64" i="14"/>
  <c r="M38" i="14"/>
  <c r="M39" i="14"/>
  <c r="M96" i="14" s="1"/>
  <c r="I47" i="92"/>
  <c r="K45" i="14" s="1"/>
  <c r="I43" i="92"/>
  <c r="K41" i="14" s="1"/>
  <c r="I50" i="92"/>
  <c r="K48" i="14" s="1"/>
  <c r="M36" i="14"/>
  <c r="M93" i="14" s="1"/>
  <c r="M41" i="14"/>
  <c r="M98" i="14" s="1"/>
  <c r="M40" i="14"/>
  <c r="M45" i="14"/>
  <c r="M102" i="14" s="1"/>
  <c r="M42" i="14"/>
  <c r="M99" i="14" s="1"/>
  <c r="L75" i="14"/>
  <c r="L132" i="14" s="1"/>
  <c r="I37" i="92"/>
  <c r="K35" i="14" s="1"/>
  <c r="G54" i="92"/>
  <c r="M47" i="14"/>
  <c r="M104" i="14" s="1"/>
  <c r="L78" i="14"/>
  <c r="M35" i="14"/>
  <c r="M92" i="14" s="1"/>
  <c r="I53" i="92"/>
  <c r="K51" i="14" s="1"/>
  <c r="I52" i="92"/>
  <c r="K50" i="14" s="1"/>
  <c r="I39" i="92"/>
  <c r="K37" i="14" s="1"/>
  <c r="M46" i="14"/>
  <c r="M103" i="14" s="1"/>
  <c r="I41" i="92"/>
  <c r="K39" i="14" s="1"/>
  <c r="M34" i="14"/>
  <c r="M91" i="14" s="1"/>
  <c r="L77" i="14"/>
  <c r="L134" i="14" s="1"/>
  <c r="P49" i="14"/>
  <c r="I48" i="92"/>
  <c r="K46" i="14" s="1"/>
  <c r="O65" i="14"/>
  <c r="P37" i="14"/>
  <c r="M48" i="14"/>
  <c r="M105" i="14" s="1"/>
  <c r="J52" i="14"/>
  <c r="M43" i="14"/>
  <c r="M100" i="14" s="1"/>
  <c r="I36" i="92"/>
  <c r="I51" i="92"/>
  <c r="K49" i="14" s="1"/>
  <c r="I46" i="92"/>
  <c r="K44" i="14" s="1"/>
  <c r="M44" i="14"/>
  <c r="M101" i="14" s="1"/>
  <c r="L73" i="14"/>
  <c r="L130" i="14" s="1"/>
  <c r="P38" i="14"/>
  <c r="I44" i="92"/>
  <c r="K42" i="14" s="1"/>
  <c r="L37" i="92"/>
  <c r="P62" i="14"/>
  <c r="P119" i="14" s="1"/>
  <c r="K41" i="91"/>
  <c r="N68" i="14" s="1"/>
  <c r="N125" i="14" s="1"/>
  <c r="L35" i="92"/>
  <c r="P60" i="14"/>
  <c r="L52" i="91"/>
  <c r="M33" i="91" s="1"/>
  <c r="Q60" i="14" s="1"/>
  <c r="Q117" i="14" s="1"/>
  <c r="L46" i="92"/>
  <c r="P71" i="14"/>
  <c r="P128" i="14" s="1"/>
  <c r="P61" i="14"/>
  <c r="P118" i="14" s="1"/>
  <c r="L36" i="92"/>
  <c r="K50" i="91"/>
  <c r="N77" i="14" s="1"/>
  <c r="N134" i="14" s="1"/>
  <c r="K51" i="91"/>
  <c r="N78" i="14" s="1"/>
  <c r="N135" i="14" s="1"/>
  <c r="K49" i="91"/>
  <c r="N76" i="14" s="1"/>
  <c r="N133" i="14" s="1"/>
  <c r="K37" i="91"/>
  <c r="N64" i="14" s="1"/>
  <c r="N121" i="14" s="1"/>
  <c r="P73" i="14"/>
  <c r="P130" i="14" s="1"/>
  <c r="L48" i="92"/>
  <c r="L41" i="92"/>
  <c r="P66" i="14"/>
  <c r="P123" i="14" s="1"/>
  <c r="K44" i="91"/>
  <c r="N71" i="14" s="1"/>
  <c r="N128" i="14" s="1"/>
  <c r="J54" i="92"/>
  <c r="K40" i="92" s="1"/>
  <c r="K33" i="91"/>
  <c r="P67" i="14"/>
  <c r="L42" i="92"/>
  <c r="P74" i="14"/>
  <c r="P131" i="14" s="1"/>
  <c r="L49" i="92"/>
  <c r="L38" i="92"/>
  <c r="P63" i="14"/>
  <c r="P120" i="14" s="1"/>
  <c r="L44" i="92"/>
  <c r="P69" i="14"/>
  <c r="P126" i="14" s="1"/>
  <c r="P68" i="14"/>
  <c r="P125" i="14" s="1"/>
  <c r="L43" i="92"/>
  <c r="P75" i="14"/>
  <c r="P132" i="14" s="1"/>
  <c r="L50" i="92"/>
  <c r="P72" i="14"/>
  <c r="P129" i="14" s="1"/>
  <c r="L47" i="92"/>
  <c r="L45" i="92"/>
  <c r="P70" i="14"/>
  <c r="P127" i="14" s="1"/>
  <c r="K43" i="14"/>
  <c r="I10" i="3"/>
  <c r="I11" i="3" s="1"/>
  <c r="H22" i="94"/>
  <c r="H30" i="76"/>
  <c r="J8" i="94" l="1"/>
  <c r="L14" i="94" s="1"/>
  <c r="M14" i="94" s="1"/>
  <c r="N36" i="94" s="1"/>
  <c r="J49" i="104"/>
  <c r="J63" i="104" s="1"/>
  <c r="I97" i="14"/>
  <c r="H71" i="76"/>
  <c r="I71" i="76" s="1"/>
  <c r="H69" i="76"/>
  <c r="I69" i="76" s="1"/>
  <c r="L129" i="14"/>
  <c r="F53" i="76"/>
  <c r="G53" i="76" s="1"/>
  <c r="O69" i="14"/>
  <c r="J73" i="76" s="1"/>
  <c r="K73" i="76" s="1"/>
  <c r="I108" i="14"/>
  <c r="O73" i="14"/>
  <c r="O130" i="14" s="1"/>
  <c r="F47" i="76"/>
  <c r="G47" i="76" s="1"/>
  <c r="O66" i="14"/>
  <c r="O123" i="14" s="1"/>
  <c r="O67" i="14"/>
  <c r="O124" i="14" s="1"/>
  <c r="H67" i="76"/>
  <c r="I67" i="76" s="1"/>
  <c r="F43" i="76"/>
  <c r="G43" i="76" s="1"/>
  <c r="F37" i="76"/>
  <c r="G37" i="76" s="1"/>
  <c r="O74" i="14"/>
  <c r="O131" i="14" s="1"/>
  <c r="I92" i="14"/>
  <c r="I101" i="14"/>
  <c r="M41" i="91"/>
  <c r="Q68" i="14" s="1"/>
  <c r="Q125" i="14" s="1"/>
  <c r="I80" i="14"/>
  <c r="H73" i="76"/>
  <c r="I73" i="76" s="1"/>
  <c r="O61" i="14"/>
  <c r="O118" i="14" s="1"/>
  <c r="I117" i="14"/>
  <c r="M48" i="91"/>
  <c r="Q75" i="14" s="1"/>
  <c r="Q132" i="14" s="1"/>
  <c r="I102" i="14"/>
  <c r="F42" i="76"/>
  <c r="G42" i="76" s="1"/>
  <c r="M34" i="91"/>
  <c r="Q61" i="14" s="1"/>
  <c r="Q118" i="14" s="1"/>
  <c r="I98" i="14"/>
  <c r="O62" i="14"/>
  <c r="O119" i="14" s="1"/>
  <c r="M36" i="91"/>
  <c r="Q63" i="14" s="1"/>
  <c r="Q120" i="14" s="1"/>
  <c r="H66" i="76"/>
  <c r="I66" i="76" s="1"/>
  <c r="O70" i="14"/>
  <c r="O127" i="14" s="1"/>
  <c r="F54" i="76"/>
  <c r="G54" i="76" s="1"/>
  <c r="M47" i="91"/>
  <c r="Q74" i="14" s="1"/>
  <c r="Q131" i="14" s="1"/>
  <c r="O75" i="14"/>
  <c r="O132" i="14" s="1"/>
  <c r="H65" i="76"/>
  <c r="I65" i="76" s="1"/>
  <c r="I53" i="14"/>
  <c r="I99" i="14"/>
  <c r="O63" i="14"/>
  <c r="O120" i="14" s="1"/>
  <c r="H72" i="76"/>
  <c r="I72" i="76" s="1"/>
  <c r="L33" i="14"/>
  <c r="H37" i="76" s="1"/>
  <c r="I37" i="76" s="1"/>
  <c r="K90" i="14"/>
  <c r="L41" i="14"/>
  <c r="L98" i="14" s="1"/>
  <c r="K98" i="14"/>
  <c r="L39" i="14"/>
  <c r="H43" i="76" s="1"/>
  <c r="I43" i="76" s="1"/>
  <c r="K96" i="14"/>
  <c r="L45" i="14"/>
  <c r="L102" i="14" s="1"/>
  <c r="K102" i="14"/>
  <c r="L37" i="14"/>
  <c r="H41" i="76" s="1"/>
  <c r="I41" i="76" s="1"/>
  <c r="K94" i="14"/>
  <c r="L42" i="14"/>
  <c r="H46" i="76" s="1"/>
  <c r="I46" i="76" s="1"/>
  <c r="K99" i="14"/>
  <c r="L43" i="14"/>
  <c r="H47" i="76" s="1"/>
  <c r="I47" i="76" s="1"/>
  <c r="K100" i="14"/>
  <c r="J54" i="14"/>
  <c r="J109" i="14"/>
  <c r="L50" i="14"/>
  <c r="L107" i="14" s="1"/>
  <c r="K107" i="14"/>
  <c r="L47" i="14"/>
  <c r="H51" i="76" s="1"/>
  <c r="I51" i="76" s="1"/>
  <c r="K104" i="14"/>
  <c r="M44" i="91"/>
  <c r="Q71" i="14" s="1"/>
  <c r="Q128" i="14" s="1"/>
  <c r="K117" i="14"/>
  <c r="L60" i="14"/>
  <c r="L51" i="14"/>
  <c r="H55" i="76" s="1"/>
  <c r="I55" i="76" s="1"/>
  <c r="K108" i="14"/>
  <c r="M39" i="91"/>
  <c r="Q66" i="14" s="1"/>
  <c r="Q123" i="14" s="1"/>
  <c r="L48" i="14"/>
  <c r="L105" i="14" s="1"/>
  <c r="K105" i="14"/>
  <c r="I91" i="14"/>
  <c r="K52" i="91"/>
  <c r="N79" i="14" s="1"/>
  <c r="N136" i="14" s="1"/>
  <c r="L36" i="14"/>
  <c r="H40" i="76" s="1"/>
  <c r="I40" i="76" s="1"/>
  <c r="K93" i="14"/>
  <c r="O72" i="14"/>
  <c r="O129" i="14" s="1"/>
  <c r="L40" i="14"/>
  <c r="H44" i="76" s="1"/>
  <c r="I44" i="76" s="1"/>
  <c r="K97" i="14"/>
  <c r="I93" i="14"/>
  <c r="I94" i="14"/>
  <c r="L44" i="14"/>
  <c r="H48" i="76" s="1"/>
  <c r="I48" i="76" s="1"/>
  <c r="K101" i="14"/>
  <c r="L46" i="14"/>
  <c r="L103" i="14" s="1"/>
  <c r="K103" i="14"/>
  <c r="L49" i="14"/>
  <c r="H53" i="76" s="1"/>
  <c r="I53" i="76" s="1"/>
  <c r="K106" i="14"/>
  <c r="L35" i="14"/>
  <c r="L92" i="14" s="1"/>
  <c r="K92" i="14"/>
  <c r="L38" i="14"/>
  <c r="L95" i="14" s="1"/>
  <c r="K95" i="14"/>
  <c r="H68" i="76"/>
  <c r="I68" i="76" s="1"/>
  <c r="L121" i="14"/>
  <c r="H82" i="76"/>
  <c r="I82" i="76" s="1"/>
  <c r="L135" i="14"/>
  <c r="J69" i="76"/>
  <c r="K69" i="76" s="1"/>
  <c r="O122" i="14"/>
  <c r="M52" i="14"/>
  <c r="M109" i="14" s="1"/>
  <c r="K38" i="92"/>
  <c r="N36" i="14" s="1"/>
  <c r="I54" i="92"/>
  <c r="K52" i="14" s="1"/>
  <c r="K109" i="14" s="1"/>
  <c r="K48" i="92"/>
  <c r="N46" i="14" s="1"/>
  <c r="K45" i="92"/>
  <c r="N43" i="14" s="1"/>
  <c r="K41" i="92"/>
  <c r="N39" i="14" s="1"/>
  <c r="K44" i="92"/>
  <c r="N42" i="14" s="1"/>
  <c r="K37" i="92"/>
  <c r="N35" i="14" s="1"/>
  <c r="K43" i="92"/>
  <c r="N41" i="14" s="1"/>
  <c r="K50" i="92"/>
  <c r="N48" i="14" s="1"/>
  <c r="K46" i="92"/>
  <c r="N44" i="14" s="1"/>
  <c r="J71" i="76"/>
  <c r="K71" i="76" s="1"/>
  <c r="H81" i="76"/>
  <c r="I81" i="76" s="1"/>
  <c r="H77" i="76"/>
  <c r="I77" i="76" s="1"/>
  <c r="H70" i="76"/>
  <c r="I70" i="76" s="1"/>
  <c r="H79" i="76"/>
  <c r="I79" i="76" s="1"/>
  <c r="I22" i="14"/>
  <c r="E23" i="76" s="1"/>
  <c r="F23" i="76" s="1"/>
  <c r="I20" i="14"/>
  <c r="E21" i="76" s="1"/>
  <c r="F21" i="76" s="1"/>
  <c r="I24" i="14"/>
  <c r="E25" i="76" s="1"/>
  <c r="F25" i="76" s="1"/>
  <c r="I23" i="14"/>
  <c r="E24" i="76" s="1"/>
  <c r="F24" i="76" s="1"/>
  <c r="I21" i="14"/>
  <c r="E22" i="76" s="1"/>
  <c r="F22" i="76" s="1"/>
  <c r="I12" i="14"/>
  <c r="E13" i="76" s="1"/>
  <c r="F13" i="76" s="1"/>
  <c r="I17" i="14"/>
  <c r="E18" i="76" s="1"/>
  <c r="F18" i="76" s="1"/>
  <c r="I19" i="14"/>
  <c r="E20" i="76" s="1"/>
  <c r="F20" i="76" s="1"/>
  <c r="I18" i="14"/>
  <c r="E19" i="76" s="1"/>
  <c r="F19" i="76" s="1"/>
  <c r="I15" i="14"/>
  <c r="E16" i="76" s="1"/>
  <c r="F16" i="76" s="1"/>
  <c r="I16" i="14"/>
  <c r="E17" i="76" s="1"/>
  <c r="F17" i="76" s="1"/>
  <c r="I11" i="14"/>
  <c r="E12" i="76" s="1"/>
  <c r="F12" i="76" s="1"/>
  <c r="I14" i="14"/>
  <c r="E15" i="76" s="1"/>
  <c r="F15" i="76" s="1"/>
  <c r="I10" i="14"/>
  <c r="E11" i="76" s="1"/>
  <c r="I13" i="14"/>
  <c r="E14" i="76" s="1"/>
  <c r="F14" i="76" s="1"/>
  <c r="G101" i="100"/>
  <c r="D100" i="100"/>
  <c r="E100" i="100" s="1"/>
  <c r="C103" i="100"/>
  <c r="P39" i="14"/>
  <c r="P47" i="14"/>
  <c r="P44" i="14"/>
  <c r="H52" i="14"/>
  <c r="H109" i="14" s="1"/>
  <c r="K79" i="14"/>
  <c r="K136" i="14" s="1"/>
  <c r="P48" i="14"/>
  <c r="P46" i="14"/>
  <c r="R60" i="14"/>
  <c r="R117" i="14" s="1"/>
  <c r="P40" i="14"/>
  <c r="O64" i="14"/>
  <c r="O121" i="14" s="1"/>
  <c r="P35" i="14"/>
  <c r="L54" i="92"/>
  <c r="M37" i="92" s="1"/>
  <c r="O76" i="14"/>
  <c r="K34" i="14"/>
  <c r="O78" i="14"/>
  <c r="O77" i="14"/>
  <c r="O134" i="14" s="1"/>
  <c r="P42" i="14"/>
  <c r="K52" i="92"/>
  <c r="N50" i="14" s="1"/>
  <c r="K53" i="92"/>
  <c r="N51" i="14" s="1"/>
  <c r="K51" i="92"/>
  <c r="N49" i="14" s="1"/>
  <c r="K39" i="92"/>
  <c r="N37" i="14" s="1"/>
  <c r="K36" i="92"/>
  <c r="N34" i="14" s="1"/>
  <c r="K49" i="92"/>
  <c r="N47" i="14" s="1"/>
  <c r="K47" i="92"/>
  <c r="N45" i="14" s="1"/>
  <c r="O68" i="14"/>
  <c r="O125" i="14" s="1"/>
  <c r="P41" i="14"/>
  <c r="P34" i="14"/>
  <c r="F83" i="76"/>
  <c r="G64" i="76"/>
  <c r="G83" i="76" s="1"/>
  <c r="O71" i="14"/>
  <c r="O128" i="14" s="1"/>
  <c r="P33" i="14"/>
  <c r="P43" i="14"/>
  <c r="K35" i="92"/>
  <c r="N33" i="14" s="1"/>
  <c r="P45" i="14"/>
  <c r="P36" i="14"/>
  <c r="K42" i="92"/>
  <c r="N40" i="14" s="1"/>
  <c r="M40" i="91"/>
  <c r="M46" i="91"/>
  <c r="Q73" i="14" s="1"/>
  <c r="Q130" i="14" s="1"/>
  <c r="M43" i="91"/>
  <c r="Q70" i="14" s="1"/>
  <c r="Q127" i="14" s="1"/>
  <c r="M42" i="91"/>
  <c r="Q69" i="14" s="1"/>
  <c r="Q126" i="14" s="1"/>
  <c r="M50" i="91"/>
  <c r="Q77" i="14" s="1"/>
  <c r="Q134" i="14" s="1"/>
  <c r="P79" i="14"/>
  <c r="P136" i="14" s="1"/>
  <c r="M51" i="91"/>
  <c r="Q78" i="14" s="1"/>
  <c r="Q135" i="14" s="1"/>
  <c r="M38" i="91"/>
  <c r="Q65" i="14" s="1"/>
  <c r="Q122" i="14" s="1"/>
  <c r="M37" i="91"/>
  <c r="Q64" i="14" s="1"/>
  <c r="Q121" i="14" s="1"/>
  <c r="M49" i="91"/>
  <c r="Q76" i="14" s="1"/>
  <c r="Q133" i="14" s="1"/>
  <c r="N60" i="14"/>
  <c r="N117" i="14" s="1"/>
  <c r="M45" i="91"/>
  <c r="Q72" i="14" s="1"/>
  <c r="Q129" i="14" s="1"/>
  <c r="M35" i="91"/>
  <c r="Q62" i="14" s="1"/>
  <c r="Q119" i="14" s="1"/>
  <c r="N38" i="14"/>
  <c r="J10" i="3"/>
  <c r="J11" i="3" s="1"/>
  <c r="L16" i="94" l="1"/>
  <c r="M16" i="94" s="1"/>
  <c r="N38" i="94" s="1"/>
  <c r="F41" i="14" s="1"/>
  <c r="D45" i="76" s="1"/>
  <c r="E45" i="76" s="1"/>
  <c r="L10" i="94"/>
  <c r="M10" i="94" s="1"/>
  <c r="N32" i="94" s="1"/>
  <c r="L13" i="94"/>
  <c r="M13" i="94" s="1"/>
  <c r="N35" i="94" s="1"/>
  <c r="F38" i="14" s="1"/>
  <c r="D42" i="76" s="1"/>
  <c r="E42" i="76" s="1"/>
  <c r="L15" i="94"/>
  <c r="M15" i="94" s="1"/>
  <c r="N37" i="94" s="1"/>
  <c r="F67" i="14" s="1"/>
  <c r="D71" i="76" s="1"/>
  <c r="E71" i="76" s="1"/>
  <c r="L17" i="94"/>
  <c r="M17" i="94" s="1"/>
  <c r="N39" i="94" s="1"/>
  <c r="L12" i="94"/>
  <c r="M12" i="94" s="1"/>
  <c r="N34" i="94" s="1"/>
  <c r="F37" i="14" s="1"/>
  <c r="D41" i="76" s="1"/>
  <c r="E41" i="76" s="1"/>
  <c r="L18" i="94"/>
  <c r="M18" i="94" s="1"/>
  <c r="N40" i="94" s="1"/>
  <c r="F70" i="14" s="1"/>
  <c r="D74" i="76" s="1"/>
  <c r="E74" i="76" s="1"/>
  <c r="J22" i="94"/>
  <c r="L19" i="94"/>
  <c r="M19" i="94" s="1"/>
  <c r="N41" i="94" s="1"/>
  <c r="F44" i="14" s="1"/>
  <c r="D48" i="76" s="1"/>
  <c r="E48" i="76" s="1"/>
  <c r="L9" i="94"/>
  <c r="L20" i="94"/>
  <c r="M20" i="94" s="1"/>
  <c r="N42" i="94" s="1"/>
  <c r="F45" i="14" s="1"/>
  <c r="D49" i="76" s="1"/>
  <c r="E49" i="76" s="1"/>
  <c r="L21" i="94"/>
  <c r="M21" i="94" s="1"/>
  <c r="N43" i="94" s="1"/>
  <c r="F46" i="14" s="1"/>
  <c r="D50" i="76" s="1"/>
  <c r="E50" i="76" s="1"/>
  <c r="N58" i="104"/>
  <c r="O58" i="104" s="1"/>
  <c r="N55" i="104"/>
  <c r="O55" i="104" s="1"/>
  <c r="N56" i="104"/>
  <c r="O56" i="104" s="1"/>
  <c r="N53" i="104"/>
  <c r="O53" i="104" s="1"/>
  <c r="N57" i="104"/>
  <c r="O57" i="104" s="1"/>
  <c r="N51" i="104"/>
  <c r="O51" i="104" s="1"/>
  <c r="N49" i="104"/>
  <c r="N59" i="104"/>
  <c r="O59" i="104" s="1"/>
  <c r="N50" i="104"/>
  <c r="O50" i="104" s="1"/>
  <c r="N54" i="104"/>
  <c r="O54" i="104" s="1"/>
  <c r="N52" i="104"/>
  <c r="O52" i="104" s="1"/>
  <c r="N60" i="104"/>
  <c r="O60" i="104" s="1"/>
  <c r="N62" i="104"/>
  <c r="O62" i="104" s="1"/>
  <c r="N61" i="104"/>
  <c r="O61" i="104" s="1"/>
  <c r="L8" i="94"/>
  <c r="L11" i="94"/>
  <c r="M11" i="94" s="1"/>
  <c r="N33" i="94" s="1"/>
  <c r="J77" i="76"/>
  <c r="K77" i="76" s="1"/>
  <c r="J78" i="76"/>
  <c r="K78" i="76" s="1"/>
  <c r="J79" i="76"/>
  <c r="K79" i="76" s="1"/>
  <c r="O126" i="14"/>
  <c r="J74" i="76"/>
  <c r="K74" i="76" s="1"/>
  <c r="H50" i="76"/>
  <c r="I50" i="76" s="1"/>
  <c r="G56" i="76"/>
  <c r="L100" i="14"/>
  <c r="J67" i="76"/>
  <c r="K67" i="76" s="1"/>
  <c r="R61" i="14"/>
  <c r="R118" i="14" s="1"/>
  <c r="R68" i="14"/>
  <c r="R125" i="14" s="1"/>
  <c r="J66" i="76"/>
  <c r="K66" i="76" s="1"/>
  <c r="L99" i="14"/>
  <c r="J70" i="76"/>
  <c r="K70" i="76" s="1"/>
  <c r="H42" i="76"/>
  <c r="I42" i="76" s="1"/>
  <c r="R75" i="14"/>
  <c r="R132" i="14" s="1"/>
  <c r="H39" i="76"/>
  <c r="I39" i="76" s="1"/>
  <c r="L97" i="14"/>
  <c r="J76" i="76"/>
  <c r="K76" i="76" s="1"/>
  <c r="J65" i="76"/>
  <c r="K65" i="76" s="1"/>
  <c r="H49" i="76"/>
  <c r="I49" i="76" s="1"/>
  <c r="H52" i="76"/>
  <c r="I52" i="76" s="1"/>
  <c r="H54" i="76"/>
  <c r="I54" i="76" s="1"/>
  <c r="R66" i="14"/>
  <c r="R123" i="14" s="1"/>
  <c r="L101" i="14"/>
  <c r="H45" i="76"/>
  <c r="I45" i="76" s="1"/>
  <c r="R63" i="14"/>
  <c r="R120" i="14" s="1"/>
  <c r="F56" i="76"/>
  <c r="L96" i="14"/>
  <c r="R74" i="14"/>
  <c r="R131" i="14" s="1"/>
  <c r="L108" i="14"/>
  <c r="L104" i="14"/>
  <c r="L90" i="14"/>
  <c r="O46" i="14"/>
  <c r="J50" i="76" s="1"/>
  <c r="K50" i="76" s="1"/>
  <c r="N103" i="14"/>
  <c r="O45" i="14"/>
  <c r="J49" i="76" s="1"/>
  <c r="K49" i="76" s="1"/>
  <c r="N102" i="14"/>
  <c r="O48" i="14"/>
  <c r="J52" i="76" s="1"/>
  <c r="K52" i="76" s="1"/>
  <c r="N105" i="14"/>
  <c r="O33" i="14"/>
  <c r="J37" i="76" s="1"/>
  <c r="K37" i="76" s="1"/>
  <c r="N90" i="14"/>
  <c r="O47" i="14"/>
  <c r="J51" i="76" s="1"/>
  <c r="K51" i="76" s="1"/>
  <c r="N104" i="14"/>
  <c r="O41" i="14"/>
  <c r="J45" i="76" s="1"/>
  <c r="K45" i="76" s="1"/>
  <c r="N98" i="14"/>
  <c r="H64" i="76"/>
  <c r="I64" i="76" s="1"/>
  <c r="I83" i="76" s="1"/>
  <c r="L117" i="14"/>
  <c r="O34" i="14"/>
  <c r="J38" i="76" s="1"/>
  <c r="K38" i="76" s="1"/>
  <c r="N91" i="14"/>
  <c r="O35" i="14"/>
  <c r="O92" i="14" s="1"/>
  <c r="N92" i="14"/>
  <c r="O42" i="14"/>
  <c r="J46" i="76" s="1"/>
  <c r="K46" i="76" s="1"/>
  <c r="N99" i="14"/>
  <c r="O37" i="14"/>
  <c r="J41" i="76" s="1"/>
  <c r="K41" i="76" s="1"/>
  <c r="N94" i="14"/>
  <c r="O38" i="14"/>
  <c r="J42" i="76" s="1"/>
  <c r="K42" i="76" s="1"/>
  <c r="N95" i="14"/>
  <c r="O49" i="14"/>
  <c r="O106" i="14" s="1"/>
  <c r="N106" i="14"/>
  <c r="O39" i="14"/>
  <c r="J43" i="76" s="1"/>
  <c r="K43" i="76" s="1"/>
  <c r="N96" i="14"/>
  <c r="O36" i="14"/>
  <c r="J40" i="76" s="1"/>
  <c r="K40" i="76" s="1"/>
  <c r="N93" i="14"/>
  <c r="O51" i="14"/>
  <c r="O108" i="14" s="1"/>
  <c r="N108" i="14"/>
  <c r="O43" i="14"/>
  <c r="J47" i="76" s="1"/>
  <c r="K47" i="76" s="1"/>
  <c r="N100" i="14"/>
  <c r="O50" i="14"/>
  <c r="J54" i="76" s="1"/>
  <c r="K54" i="76" s="1"/>
  <c r="N107" i="14"/>
  <c r="O40" i="14"/>
  <c r="J44" i="76" s="1"/>
  <c r="K44" i="76" s="1"/>
  <c r="N97" i="14"/>
  <c r="R71" i="14"/>
  <c r="R128" i="14" s="1"/>
  <c r="L34" i="14"/>
  <c r="H38" i="76" s="1"/>
  <c r="K91" i="14"/>
  <c r="L93" i="14"/>
  <c r="L94" i="14"/>
  <c r="L106" i="14"/>
  <c r="O44" i="14"/>
  <c r="J48" i="76" s="1"/>
  <c r="K48" i="76" s="1"/>
  <c r="N101" i="14"/>
  <c r="J82" i="76"/>
  <c r="K82" i="76" s="1"/>
  <c r="O135" i="14"/>
  <c r="J80" i="76"/>
  <c r="K80" i="76" s="1"/>
  <c r="O133" i="14"/>
  <c r="F40" i="14"/>
  <c r="D44" i="76" s="1"/>
  <c r="E44" i="76" s="1"/>
  <c r="F42" i="14"/>
  <c r="D46" i="76" s="1"/>
  <c r="E46" i="76" s="1"/>
  <c r="F69" i="14"/>
  <c r="D73" i="76" s="1"/>
  <c r="E73" i="76" s="1"/>
  <c r="F43" i="14"/>
  <c r="D47" i="76" s="1"/>
  <c r="E47" i="76" s="1"/>
  <c r="F39" i="14"/>
  <c r="D43" i="76" s="1"/>
  <c r="E43" i="76" s="1"/>
  <c r="F66" i="14"/>
  <c r="D70" i="76" s="1"/>
  <c r="E70" i="76" s="1"/>
  <c r="F35" i="14"/>
  <c r="D39" i="76" s="1"/>
  <c r="E39" i="76" s="1"/>
  <c r="F62" i="14"/>
  <c r="D66" i="76" s="1"/>
  <c r="E66" i="76" s="1"/>
  <c r="M35" i="92"/>
  <c r="Q33" i="14" s="1"/>
  <c r="R33" i="14" s="1"/>
  <c r="L37" i="76" s="1"/>
  <c r="M37" i="76" s="1"/>
  <c r="P52" i="14"/>
  <c r="M49" i="92"/>
  <c r="Q47" i="14" s="1"/>
  <c r="R47" i="14" s="1"/>
  <c r="L51" i="76" s="1"/>
  <c r="M51" i="76" s="1"/>
  <c r="M36" i="92"/>
  <c r="Q34" i="14" s="1"/>
  <c r="R34" i="14" s="1"/>
  <c r="L38" i="76" s="1"/>
  <c r="M38" i="76" s="1"/>
  <c r="M47" i="92"/>
  <c r="Q45" i="14" s="1"/>
  <c r="R45" i="14" s="1"/>
  <c r="L49" i="76" s="1"/>
  <c r="M49" i="76" s="1"/>
  <c r="M48" i="92"/>
  <c r="Q46" i="14" s="1"/>
  <c r="R46" i="14" s="1"/>
  <c r="L50" i="76" s="1"/>
  <c r="M50" i="76" s="1"/>
  <c r="M43" i="92"/>
  <c r="Q41" i="14" s="1"/>
  <c r="R41" i="14" s="1"/>
  <c r="L45" i="76" s="1"/>
  <c r="M45" i="76" s="1"/>
  <c r="M9" i="94"/>
  <c r="N31" i="94" s="1"/>
  <c r="L64" i="76"/>
  <c r="M64" i="76" s="1"/>
  <c r="J75" i="76"/>
  <c r="K75" i="76" s="1"/>
  <c r="J68" i="76"/>
  <c r="K68" i="76" s="1"/>
  <c r="J81" i="76"/>
  <c r="K81" i="76" s="1"/>
  <c r="J72" i="76"/>
  <c r="K72" i="76" s="1"/>
  <c r="F11" i="76"/>
  <c r="F30" i="76" s="1"/>
  <c r="E30" i="76"/>
  <c r="G102" i="100"/>
  <c r="D101" i="100"/>
  <c r="E101" i="100" s="1"/>
  <c r="C104" i="100"/>
  <c r="R76" i="14"/>
  <c r="R133" i="14" s="1"/>
  <c r="R64" i="14"/>
  <c r="R121" i="14" s="1"/>
  <c r="R65" i="14"/>
  <c r="R122" i="14" s="1"/>
  <c r="M38" i="92"/>
  <c r="Q36" i="14" s="1"/>
  <c r="R36" i="14" s="1"/>
  <c r="L40" i="76" s="1"/>
  <c r="M40" i="76" s="1"/>
  <c r="M42" i="92"/>
  <c r="Q40" i="14" s="1"/>
  <c r="R40" i="14" s="1"/>
  <c r="L44" i="76" s="1"/>
  <c r="M44" i="76" s="1"/>
  <c r="M46" i="92"/>
  <c r="Q44" i="14" s="1"/>
  <c r="R44" i="14" s="1"/>
  <c r="L48" i="76" s="1"/>
  <c r="M48" i="76" s="1"/>
  <c r="R69" i="14"/>
  <c r="R126" i="14" s="1"/>
  <c r="R72" i="14"/>
  <c r="R73" i="14"/>
  <c r="R130" i="14" s="1"/>
  <c r="M50" i="92"/>
  <c r="Q48" i="14" s="1"/>
  <c r="R48" i="14" s="1"/>
  <c r="L52" i="76" s="1"/>
  <c r="M52" i="76" s="1"/>
  <c r="M41" i="92"/>
  <c r="Q39" i="14" s="1"/>
  <c r="R39" i="14" s="1"/>
  <c r="L43" i="76" s="1"/>
  <c r="M43" i="76" s="1"/>
  <c r="M44" i="92"/>
  <c r="Q42" i="14" s="1"/>
  <c r="R42" i="14" s="1"/>
  <c r="L46" i="76" s="1"/>
  <c r="M46" i="76" s="1"/>
  <c r="M45" i="92"/>
  <c r="Q43" i="14" s="1"/>
  <c r="R43" i="14" s="1"/>
  <c r="L47" i="76" s="1"/>
  <c r="M47" i="76" s="1"/>
  <c r="R78" i="14"/>
  <c r="R135" i="14" s="1"/>
  <c r="R77" i="14"/>
  <c r="R134" i="14" s="1"/>
  <c r="R62" i="14"/>
  <c r="R70" i="14"/>
  <c r="R127" i="14" s="1"/>
  <c r="M52" i="92"/>
  <c r="Q50" i="14" s="1"/>
  <c r="R50" i="14" s="1"/>
  <c r="L54" i="76" s="1"/>
  <c r="M54" i="76" s="1"/>
  <c r="M53" i="92"/>
  <c r="Q51" i="14" s="1"/>
  <c r="R51" i="14" s="1"/>
  <c r="L55" i="76" s="1"/>
  <c r="M55" i="76" s="1"/>
  <c r="M40" i="92"/>
  <c r="Q38" i="14" s="1"/>
  <c r="R38" i="14" s="1"/>
  <c r="L42" i="76" s="1"/>
  <c r="M42" i="76" s="1"/>
  <c r="M39" i="92"/>
  <c r="Q37" i="14" s="1"/>
  <c r="R37" i="14" s="1"/>
  <c r="L41" i="76" s="1"/>
  <c r="M41" i="76" s="1"/>
  <c r="M51" i="92"/>
  <c r="Q49" i="14" s="1"/>
  <c r="R49" i="14" s="1"/>
  <c r="L53" i="76" s="1"/>
  <c r="M53" i="76" s="1"/>
  <c r="K54" i="92"/>
  <c r="N52" i="14" s="1"/>
  <c r="N109" i="14" s="1"/>
  <c r="O60" i="14"/>
  <c r="M52" i="91"/>
  <c r="Q79" i="14" s="1"/>
  <c r="Q136" i="14" s="1"/>
  <c r="Q67" i="14"/>
  <c r="Q124" i="14" s="1"/>
  <c r="Q35" i="14"/>
  <c r="R35" i="14" s="1"/>
  <c r="L39" i="76" s="1"/>
  <c r="M39" i="76" s="1"/>
  <c r="M8" i="94"/>
  <c r="F73" i="14" l="1"/>
  <c r="D77" i="76" s="1"/>
  <c r="E77" i="76" s="1"/>
  <c r="F68" i="14"/>
  <c r="D72" i="76" s="1"/>
  <c r="E72" i="76" s="1"/>
  <c r="F64" i="14"/>
  <c r="D68" i="76" s="1"/>
  <c r="E68" i="76" s="1"/>
  <c r="L22" i="94"/>
  <c r="F65" i="14"/>
  <c r="D69" i="76" s="1"/>
  <c r="E69" i="76" s="1"/>
  <c r="F72" i="14"/>
  <c r="D76" i="76" s="1"/>
  <c r="E76" i="76" s="1"/>
  <c r="F71" i="14"/>
  <c r="D75" i="76" s="1"/>
  <c r="E75" i="76" s="1"/>
  <c r="O49" i="104"/>
  <c r="N63" i="104"/>
  <c r="F36" i="14"/>
  <c r="D40" i="76" s="1"/>
  <c r="E40" i="76" s="1"/>
  <c r="F63" i="14"/>
  <c r="D67" i="76" s="1"/>
  <c r="E67" i="76" s="1"/>
  <c r="H83" i="76"/>
  <c r="L65" i="76"/>
  <c r="M65" i="76" s="1"/>
  <c r="L72" i="76"/>
  <c r="M72" i="76" s="1"/>
  <c r="J53" i="76"/>
  <c r="K53" i="76" s="1"/>
  <c r="O103" i="14"/>
  <c r="L67" i="76"/>
  <c r="M67" i="76" s="1"/>
  <c r="L79" i="76"/>
  <c r="M79" i="76" s="1"/>
  <c r="O102" i="14"/>
  <c r="L70" i="76"/>
  <c r="M70" i="76" s="1"/>
  <c r="J39" i="76"/>
  <c r="K39" i="76" s="1"/>
  <c r="O96" i="14"/>
  <c r="L53" i="14"/>
  <c r="O97" i="14"/>
  <c r="O95" i="14"/>
  <c r="O93" i="14"/>
  <c r="L78" i="76"/>
  <c r="M78" i="76" s="1"/>
  <c r="O107" i="14"/>
  <c r="J55" i="76"/>
  <c r="K55" i="76" s="1"/>
  <c r="O105" i="14"/>
  <c r="O53" i="14"/>
  <c r="O101" i="14"/>
  <c r="I38" i="76"/>
  <c r="I56" i="76" s="1"/>
  <c r="H56" i="76"/>
  <c r="O99" i="14"/>
  <c r="O104" i="14"/>
  <c r="O94" i="14"/>
  <c r="O98" i="14"/>
  <c r="O91" i="14"/>
  <c r="L75" i="76"/>
  <c r="M75" i="76" s="1"/>
  <c r="O90" i="14"/>
  <c r="L91" i="14"/>
  <c r="O100" i="14"/>
  <c r="L76" i="76"/>
  <c r="M76" i="76" s="1"/>
  <c r="R129" i="14"/>
  <c r="L66" i="76"/>
  <c r="M66" i="76" s="1"/>
  <c r="R119" i="14"/>
  <c r="J64" i="76"/>
  <c r="J83" i="76" s="1"/>
  <c r="O117" i="14"/>
  <c r="F34" i="14"/>
  <c r="D38" i="76" s="1"/>
  <c r="E38" i="76" s="1"/>
  <c r="F61" i="14"/>
  <c r="D65" i="76" s="1"/>
  <c r="M54" i="92"/>
  <c r="Q52" i="14" s="1"/>
  <c r="L68" i="76"/>
  <c r="M68" i="76" s="1"/>
  <c r="L77" i="76"/>
  <c r="M77" i="76" s="1"/>
  <c r="L81" i="76"/>
  <c r="M81" i="76" s="1"/>
  <c r="L82" i="76"/>
  <c r="M82" i="76" s="1"/>
  <c r="L69" i="76"/>
  <c r="M69" i="76" s="1"/>
  <c r="L80" i="76"/>
  <c r="M80" i="76" s="1"/>
  <c r="L74" i="76"/>
  <c r="M74" i="76" s="1"/>
  <c r="L73" i="76"/>
  <c r="M73" i="76" s="1"/>
  <c r="C105" i="100"/>
  <c r="D102" i="100"/>
  <c r="E102" i="100" s="1"/>
  <c r="G103" i="100"/>
  <c r="R67" i="14"/>
  <c r="R53" i="14"/>
  <c r="L56" i="76"/>
  <c r="M56" i="76"/>
  <c r="N30" i="94"/>
  <c r="M22" i="94"/>
  <c r="F60" i="14" l="1"/>
  <c r="D64" i="76" s="1"/>
  <c r="E64" i="76" s="1"/>
  <c r="N44" i="94"/>
  <c r="O63" i="104"/>
  <c r="K56" i="76"/>
  <c r="J56" i="76"/>
  <c r="K64" i="76"/>
  <c r="K83" i="76" s="1"/>
  <c r="L71" i="76"/>
  <c r="M71" i="76" s="1"/>
  <c r="M83" i="76" s="1"/>
  <c r="R124" i="14"/>
  <c r="E65" i="76"/>
  <c r="G104" i="100"/>
  <c r="D103" i="100"/>
  <c r="E103" i="100" s="1"/>
  <c r="C106" i="100"/>
  <c r="F33" i="14"/>
  <c r="F74" i="14" l="1"/>
  <c r="D78" i="76" s="1"/>
  <c r="F47" i="14"/>
  <c r="D51" i="76" s="1"/>
  <c r="E51" i="76" s="1"/>
  <c r="L83" i="76"/>
  <c r="D37" i="76"/>
  <c r="E37" i="76" s="1"/>
  <c r="C107" i="100"/>
  <c r="G105" i="100"/>
  <c r="D104" i="100"/>
  <c r="E104" i="100" s="1"/>
  <c r="F53" i="14" l="1"/>
  <c r="E56" i="76"/>
  <c r="E78" i="76"/>
  <c r="E83" i="76" s="1"/>
  <c r="D83" i="76"/>
  <c r="D56" i="76"/>
  <c r="D105" i="100"/>
  <c r="E105" i="100" s="1"/>
  <c r="G106" i="100"/>
  <c r="C108" i="100"/>
  <c r="C109" i="100" l="1"/>
  <c r="H108" i="100"/>
  <c r="D106" i="100"/>
  <c r="E106" i="100" s="1"/>
  <c r="G107" i="100"/>
  <c r="G108" i="100" l="1"/>
  <c r="D107" i="100"/>
  <c r="E107" i="100" s="1"/>
  <c r="C110" i="100"/>
  <c r="C111" i="100" l="1"/>
  <c r="G109" i="100"/>
  <c r="D108" i="100"/>
  <c r="I108" i="100" l="1"/>
  <c r="J108" i="100" s="1"/>
  <c r="E108" i="100"/>
  <c r="G110" i="100"/>
  <c r="D109" i="100"/>
  <c r="C112" i="100"/>
  <c r="C113" i="100" l="1"/>
  <c r="G111" i="100"/>
  <c r="D110" i="100"/>
  <c r="E110" i="100" s="1"/>
  <c r="E109" i="100"/>
  <c r="G112" i="100" l="1"/>
  <c r="D111" i="100"/>
  <c r="E111" i="100" s="1"/>
  <c r="C114" i="100"/>
  <c r="C115" i="100" l="1"/>
  <c r="G113" i="100"/>
  <c r="D112" i="100"/>
  <c r="E112" i="100" s="1"/>
  <c r="G114" i="100" l="1"/>
  <c r="D113" i="100"/>
  <c r="E113" i="100" s="1"/>
  <c r="C116" i="100"/>
  <c r="C117" i="100" l="1"/>
  <c r="G115" i="100"/>
  <c r="D114" i="100"/>
  <c r="E114" i="100" s="1"/>
  <c r="G116" i="100" l="1"/>
  <c r="D115" i="100"/>
  <c r="E115" i="100" s="1"/>
  <c r="C118" i="100"/>
  <c r="C119" i="100" l="1"/>
  <c r="G117" i="100"/>
  <c r="D116" i="100"/>
  <c r="E116" i="100" s="1"/>
  <c r="C120" i="100" l="1"/>
  <c r="G118" i="100"/>
  <c r="D117" i="100"/>
  <c r="E117" i="100" s="1"/>
  <c r="G119" i="100" l="1"/>
  <c r="D118" i="100"/>
  <c r="E118" i="100" s="1"/>
  <c r="C121" i="100"/>
  <c r="H120" i="100"/>
  <c r="C122" i="100" l="1"/>
  <c r="G120" i="100"/>
  <c r="D119" i="100"/>
  <c r="E119" i="100" s="1"/>
  <c r="C123" i="100" l="1"/>
  <c r="G121" i="100"/>
  <c r="D120" i="100"/>
  <c r="G122" i="100" l="1"/>
  <c r="D121" i="100"/>
  <c r="I120" i="100"/>
  <c r="J120" i="100" s="1"/>
  <c r="E120" i="100"/>
  <c r="C124" i="100"/>
  <c r="C125" i="100" l="1"/>
  <c r="E121" i="100"/>
  <c r="G123" i="100"/>
  <c r="D122" i="100"/>
  <c r="E122" i="100" s="1"/>
  <c r="C126" i="100" l="1"/>
  <c r="G124" i="100"/>
  <c r="D123" i="100"/>
  <c r="E123" i="100" s="1"/>
  <c r="G125" i="100" l="1"/>
  <c r="D124" i="100"/>
  <c r="E124" i="100" s="1"/>
  <c r="C127" i="100"/>
  <c r="G126" i="100" l="1"/>
  <c r="D125" i="100"/>
  <c r="C128" i="100"/>
  <c r="C129" i="100" l="1"/>
  <c r="E125" i="100"/>
  <c r="G127" i="100"/>
  <c r="D126" i="100"/>
  <c r="E126" i="100" s="1"/>
  <c r="C130" i="100" l="1"/>
  <c r="G128" i="100"/>
  <c r="D127" i="100"/>
  <c r="E127" i="100" s="1"/>
  <c r="G129" i="100" l="1"/>
  <c r="D128" i="100"/>
  <c r="E128" i="100" s="1"/>
  <c r="C131" i="100"/>
  <c r="C132" i="100" l="1"/>
  <c r="G130" i="100"/>
  <c r="D129" i="100"/>
  <c r="E129" i="100" s="1"/>
  <c r="H132" i="100" l="1"/>
  <c r="G131" i="100"/>
  <c r="D130" i="100"/>
  <c r="E130" i="100" s="1"/>
  <c r="G132" i="100" l="1"/>
  <c r="D131" i="100"/>
  <c r="E131" i="100" s="1"/>
  <c r="D132" i="100" l="1"/>
  <c r="I132" i="100" l="1"/>
  <c r="J132" i="100" s="1"/>
  <c r="E132" i="100"/>
  <c r="N36" i="104"/>
  <c r="O36" i="104" s="1"/>
  <c r="P78" i="104" s="1"/>
  <c r="N37" i="104"/>
  <c r="O37" i="104" s="1"/>
  <c r="P79" i="104" s="1"/>
  <c r="N30" i="104"/>
  <c r="O30" i="104" s="1"/>
  <c r="P72" i="104" s="1"/>
  <c r="N31" i="104"/>
  <c r="O31" i="104" s="1"/>
  <c r="P73" i="104" s="1"/>
  <c r="N32" i="104"/>
  <c r="O32" i="104" s="1"/>
  <c r="P74" i="104" s="1"/>
  <c r="N34" i="104"/>
  <c r="O34" i="104" s="1"/>
  <c r="P76" i="104" s="1"/>
  <c r="N40" i="104"/>
  <c r="O40" i="104" s="1"/>
  <c r="P82" i="104" s="1"/>
  <c r="N38" i="104"/>
  <c r="O38" i="104" s="1"/>
  <c r="P80" i="104" s="1"/>
  <c r="N39" i="104"/>
  <c r="O39" i="104" s="1"/>
  <c r="P81" i="104" s="1"/>
  <c r="N35" i="104"/>
  <c r="O35" i="104" s="1"/>
  <c r="P77" i="104" s="1"/>
  <c r="N29" i="104"/>
  <c r="O29" i="104" s="1"/>
  <c r="P71" i="104" s="1"/>
  <c r="N41" i="104"/>
  <c r="O41" i="104" s="1"/>
  <c r="P83" i="104" s="1"/>
  <c r="N33" i="104"/>
  <c r="O33" i="104" s="1"/>
  <c r="P75" i="104" s="1"/>
  <c r="N28" i="104"/>
  <c r="O28" i="104" s="1"/>
  <c r="N42" i="104"/>
  <c r="O42" i="104" l="1"/>
  <c r="P70" i="104"/>
  <c r="P84" i="10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tc={6ADDAFC1-7F95-46F0-A1E8-A990631BBB4A}</author>
    <author>tc={FC7A93AD-B7AC-43C0-889E-C72620E58FC5}</author>
  </authors>
  <commentList>
    <comment ref="F8" authorId="0" shapeId="0" xr:uid="{6ADDAFC1-7F95-46F0-A1E8-A990631BBB4A}">
      <text>
        <t>[Threaded comment]
Your version of Excel allows you to read this threaded comment; however, any edits to it will get removed if the file is opened in a newer version of Excel. Learn more: https://go.microsoft.com/fwlink/?linkid=870924
Comment:
    Cross Check for the reason of difference in Amount Billed</t>
      </text>
    </comment>
    <comment ref="F36" authorId="1" shapeId="0" xr:uid="{FC7A93AD-B7AC-43C0-889E-C72620E58FC5}">
      <text>
        <t>[Threaded comment]
Your version of Excel allows you to read this threaded comment; however, any edits to it will get removed if the file is opened in a newer version of Excel. Learn more: https://go.microsoft.com/fwlink/?linkid=870924
Comment:
    Cross Check for the reason of difference in Amount Billed</t>
      </text>
    </comment>
  </commentList>
</comments>
</file>

<file path=xl/sharedStrings.xml><?xml version="1.0" encoding="utf-8"?>
<sst xmlns="http://schemas.openxmlformats.org/spreadsheetml/2006/main" count="3059" uniqueCount="412">
  <si>
    <t xml:space="preserve">      &lt;Name of State Transmission Utility&gt;</t>
  </si>
  <si>
    <t>MYT Petition Formats - State Transmission Utility</t>
  </si>
  <si>
    <t>Sr. No.</t>
  </si>
  <si>
    <t>Title</t>
  </si>
  <si>
    <t>Reference</t>
  </si>
  <si>
    <t>Aggregate Revenue Requirement - Summary Sheet</t>
  </si>
  <si>
    <t>Form 1</t>
  </si>
  <si>
    <t>Month wise Average Coincident Peak Demand and Non-Coincident Peak Demand</t>
  </si>
  <si>
    <t>Form 2</t>
  </si>
  <si>
    <t>Base Transmission Capacity Rights</t>
  </si>
  <si>
    <t>Form 3</t>
  </si>
  <si>
    <t>Transmission Tariff for Control Period</t>
  </si>
  <si>
    <t>Form 4</t>
  </si>
  <si>
    <t>Annual Sharing of Total Transmission System Cost (TTSC) amoung Transmission System Users (TSU)</t>
  </si>
  <si>
    <t>Form 5</t>
  </si>
  <si>
    <t>Monthly Total Transmission System Cost (TTSC) payable by Transmission System Users (TSU)</t>
  </si>
  <si>
    <t>Form 6</t>
  </si>
  <si>
    <t>Recovery of ARR of Transmission Licensees</t>
  </si>
  <si>
    <t>Form 7</t>
  </si>
  <si>
    <t>&lt;Name of the State Transmission Utility&gt;</t>
  </si>
  <si>
    <t>Form 1:  Aggregate Revenue Requirement of Transmission Licensees - combined - Summary Sheet</t>
  </si>
  <si>
    <t>(Rs. Crore)</t>
  </si>
  <si>
    <t>Name of Transmission Licensee</t>
  </si>
  <si>
    <t>Reference (Petition No. of Licensee)</t>
  </si>
  <si>
    <t>Ensuing Years</t>
  </si>
  <si>
    <t>Remarks</t>
  </si>
  <si>
    <t>FY 2025-26</t>
  </si>
  <si>
    <t>FY 2026-27</t>
  </si>
  <si>
    <t>FY 2027-28</t>
  </si>
  <si>
    <t>FY 2028-29</t>
  </si>
  <si>
    <t>FY 2029-30</t>
  </si>
  <si>
    <t>Projected</t>
  </si>
  <si>
    <t>MSETCL</t>
  </si>
  <si>
    <t>Case No. 178 of 2024</t>
  </si>
  <si>
    <t>ATIL</t>
  </si>
  <si>
    <t>Case No. 181 of 2024</t>
  </si>
  <si>
    <t>MEGPTCL</t>
  </si>
  <si>
    <t>Case No. 182 of 2024</t>
  </si>
  <si>
    <t>VIPL-T</t>
  </si>
  <si>
    <t>Case No. 220 of 2024</t>
  </si>
  <si>
    <t>AEML-T</t>
  </si>
  <si>
    <t>Case No. 184 of 2024</t>
  </si>
  <si>
    <t>TPC-T</t>
  </si>
  <si>
    <t>Case No. 185 of 2024</t>
  </si>
  <si>
    <t>JPTL</t>
  </si>
  <si>
    <t>Case No. 180 of 2024</t>
  </si>
  <si>
    <t>APTCL</t>
  </si>
  <si>
    <t>Case No. 179 of 2024</t>
  </si>
  <si>
    <t>KVTL</t>
  </si>
  <si>
    <t>Case No. 142 of 2020, Case No. 142 of 2021</t>
  </si>
  <si>
    <t>Total Transmission System Cost of all Licensees proposed to be recovered in respective year</t>
  </si>
  <si>
    <t>FY 2022-23</t>
  </si>
  <si>
    <t>FY 2023-24</t>
  </si>
  <si>
    <t>FY 2024-25</t>
  </si>
  <si>
    <t>MTR Order</t>
  </si>
  <si>
    <t>True Up</t>
  </si>
  <si>
    <t>Actual</t>
  </si>
  <si>
    <t>Provisional</t>
  </si>
  <si>
    <t>(Acutal +Provisional)</t>
  </si>
  <si>
    <t>-</t>
  </si>
  <si>
    <t>MTR Approved for FY 2022-23</t>
  </si>
  <si>
    <t>232/MT/2022</t>
  </si>
  <si>
    <t>https://merc.gov.in/wp-content/uploads/2023/03/Order-232-of-2022.pdf</t>
  </si>
  <si>
    <t>238/MT/2022</t>
  </si>
  <si>
    <t>https://merc.gov.in/wp-content/uploads/2023/03/Order-238-of-2022.pdf</t>
  </si>
  <si>
    <t>237/MT/2022</t>
  </si>
  <si>
    <t>https://merc.gov.in/wp-content/uploads/2023/03/Order-237-of-2022.pdf</t>
  </si>
  <si>
    <t>224/MT/2022</t>
  </si>
  <si>
    <t>https://merc.gov.in/wp-content/uploads/2023/03/Order-224-of-2022.pdf</t>
  </si>
  <si>
    <t>230/MT/2022</t>
  </si>
  <si>
    <t>https://merc.gov.in/wp-content/uploads/2023/03/Order-230-of-2022.pdf</t>
  </si>
  <si>
    <t>217/MT/2022</t>
  </si>
  <si>
    <t>https://merc.gov.in/wp-content/uploads/2023/03/Order-217-of-2022-1.pdf</t>
  </si>
  <si>
    <t>213/MT/2022</t>
  </si>
  <si>
    <t>https://merc.gov.in/wp-content/uploads/2023/03/Order-213-of-2022.pdf</t>
  </si>
  <si>
    <t>234/MT/2022</t>
  </si>
  <si>
    <t>https://merc.gov.in/wp-content/uploads/2023/03/Order-234-of-2022-1.pdf</t>
  </si>
  <si>
    <t>53/2022</t>
  </si>
  <si>
    <t>Form 2:  Month wise Average Coincident Peak Demand and Non-Coincident Peak Demand</t>
  </si>
  <si>
    <t>Year : FY 2023-24 (Actual)</t>
  </si>
  <si>
    <t>A) Coincident Peak Demand (MW)</t>
  </si>
  <si>
    <t>MW</t>
  </si>
  <si>
    <t>Particulars</t>
  </si>
  <si>
    <t>Apr</t>
  </si>
  <si>
    <t>May</t>
  </si>
  <si>
    <t>Jun</t>
  </si>
  <si>
    <t>Jul</t>
  </si>
  <si>
    <t>Aug</t>
  </si>
  <si>
    <t>Sep</t>
  </si>
  <si>
    <t>Oct</t>
  </si>
  <si>
    <t>Nov</t>
  </si>
  <si>
    <t>Dec</t>
  </si>
  <si>
    <t>Jan</t>
  </si>
  <si>
    <t>Feb</t>
  </si>
  <si>
    <t>Mar</t>
  </si>
  <si>
    <t>Avergae</t>
  </si>
  <si>
    <t>MSEDCL</t>
  </si>
  <si>
    <t>TPCL-D</t>
  </si>
  <si>
    <t>AEML-D</t>
  </si>
  <si>
    <t>BEST</t>
  </si>
  <si>
    <t>Indian Railways</t>
  </si>
  <si>
    <t>Mindspace</t>
  </si>
  <si>
    <t>Gigaplex Properties</t>
  </si>
  <si>
    <t>KRC Infrastructure</t>
  </si>
  <si>
    <t>Nidar Utilities</t>
  </si>
  <si>
    <t>MADC</t>
  </si>
  <si>
    <t xml:space="preserve">EON Phase-1 </t>
  </si>
  <si>
    <t>EON Phase-2</t>
  </si>
  <si>
    <t>JNPA</t>
  </si>
  <si>
    <t>Laxmipati Balaji</t>
  </si>
  <si>
    <t>AEML SEEPZ</t>
  </si>
  <si>
    <t>SEZ Bio-Tech Services Pvt. Ltd. - Hadapsar</t>
  </si>
  <si>
    <t>SEZ Bio-Tech Services Pvt. Ltd. - Manjari</t>
  </si>
  <si>
    <t>B) Non-Coincident Peak Demand (MW)</t>
  </si>
  <si>
    <t>C) Average of CPD and NCPD (MW)</t>
  </si>
  <si>
    <t>Year : FY 24-25 (Actual)</t>
  </si>
  <si>
    <t>Billed Open Access Demand of Partial Open Access Users</t>
  </si>
  <si>
    <t>AEML</t>
  </si>
  <si>
    <t>TPC-D</t>
  </si>
  <si>
    <t>FY 2021-22</t>
  </si>
  <si>
    <t>FY 2020-21</t>
  </si>
  <si>
    <t>* Monthly Average of POA data provided by MSEDCL in the form of injected units divided by 250 to arrive at demand</t>
  </si>
  <si>
    <t>* TPC- &amp; AEML-D did not provide 15min demand data for POA Consumers</t>
  </si>
  <si>
    <t>Projected Open Access Demand of Partial Open Access Users*</t>
  </si>
  <si>
    <t>NA</t>
  </si>
  <si>
    <t>TPCD</t>
  </si>
  <si>
    <t xml:space="preserve">*Justification and basis for projection to be submitted </t>
  </si>
  <si>
    <t>*Projections od POA for 5th Control Period as per 21% CAGR</t>
  </si>
  <si>
    <t>2025-26</t>
  </si>
  <si>
    <t>2026-27</t>
  </si>
  <si>
    <t>2027-28</t>
  </si>
  <si>
    <t>2028-29</t>
  </si>
  <si>
    <t>2029-30</t>
  </si>
  <si>
    <t>April</t>
  </si>
  <si>
    <t>June</t>
  </si>
  <si>
    <t>July</t>
  </si>
  <si>
    <t xml:space="preserve">sept </t>
  </si>
  <si>
    <t>Oct (*#)</t>
  </si>
  <si>
    <t>Average</t>
  </si>
  <si>
    <t>20-21</t>
  </si>
  <si>
    <t>Average (Oct 23-24 - Sept 24-25)</t>
  </si>
  <si>
    <t>21-22</t>
  </si>
  <si>
    <t>Average (Nov 23-24 - Oct 24-25)</t>
  </si>
  <si>
    <t>22-23</t>
  </si>
  <si>
    <t>23-24</t>
  </si>
  <si>
    <t>24-25</t>
  </si>
  <si>
    <t>POA for October (Month wise)</t>
  </si>
  <si>
    <t>Source: POA data as per 15 min time block received from MSEDCL</t>
  </si>
  <si>
    <t>*For October 24-25 we have considered the Average of POA demand for last 4 years data for the month of OCT</t>
  </si>
  <si>
    <t>CAGR</t>
  </si>
  <si>
    <t>*as submitted by MSEDCL</t>
  </si>
  <si>
    <t>#For October 24-25 the data for POA not provided by MSEDCL</t>
  </si>
  <si>
    <t>Sept</t>
  </si>
  <si>
    <t>25-26</t>
  </si>
  <si>
    <t>26-27</t>
  </si>
  <si>
    <t>27-28</t>
  </si>
  <si>
    <t>28-29</t>
  </si>
  <si>
    <t>29-30</t>
  </si>
  <si>
    <t>Form 3 A:  Base Transmission Capacity Rights (With Partial OA Capacity)</t>
  </si>
  <si>
    <t>A. True-up of 4th Control Period</t>
  </si>
  <si>
    <t>MYT 2019 Approved</t>
  </si>
  <si>
    <t>MTR Approved</t>
  </si>
  <si>
    <t>Estimated as per trend</t>
  </si>
  <si>
    <t>TCR (MW)</t>
  </si>
  <si>
    <t>TCR (%)</t>
  </si>
  <si>
    <t>Total Transmission Capacity Rights of all TSUs</t>
  </si>
  <si>
    <t>B. 5th Control Period Projections</t>
  </si>
  <si>
    <t>MITL - Bidkin</t>
  </si>
  <si>
    <t>MITL - Shendra</t>
  </si>
  <si>
    <t>Form 3 B:  Base Transmission Capacity Rights (Without Partial OA Capacity)</t>
  </si>
  <si>
    <t>MYT Approved</t>
  </si>
  <si>
    <t>Estimated</t>
  </si>
  <si>
    <t>Form 4:  Transmission Tariff for Control Period</t>
  </si>
  <si>
    <t>Unit</t>
  </si>
  <si>
    <t>Total Transmission System Cost (TTSC)</t>
  </si>
  <si>
    <t>Rs. Crore</t>
  </si>
  <si>
    <t>Base Transmission Capacity Rights (with POA)</t>
  </si>
  <si>
    <t>Form 3 A</t>
  </si>
  <si>
    <t>Transmission Tariff (long term/ medium term)</t>
  </si>
  <si>
    <t>Rs./kW/month</t>
  </si>
  <si>
    <t>Transmission Tariff (short term/ short term collective/ renewable energy)</t>
  </si>
  <si>
    <t>Rs./kWh</t>
  </si>
  <si>
    <t>Rs. / kVAh</t>
  </si>
  <si>
    <t>PF considered as 0.98</t>
  </si>
  <si>
    <t>Energy Units Transmitted (Discom Projections)</t>
  </si>
  <si>
    <t>Mus</t>
  </si>
  <si>
    <t>Form 5:  Annual Sharing of Total Transmission System Cost (TTSC) among Transmission System Users (TSU) excluding POA Capacity</t>
  </si>
  <si>
    <t>MYT Order Approved</t>
  </si>
  <si>
    <t>Share of Avg of CPD and NCPD (MW)</t>
  </si>
  <si>
    <t>Share of Avg of CPD and NCPD (%)</t>
  </si>
  <si>
    <t>Share of TTSC (Rs. Crore)</t>
  </si>
  <si>
    <t>Total</t>
  </si>
  <si>
    <t>Form 5:  Annual Sharing of Total Transmission System Cost (TTSC) among Transmission System Users (TSU) Excluding POA Demand  (With True-up adjustment of FY 2022-23 &amp; FY 2023-24)</t>
  </si>
  <si>
    <t>Particulars*</t>
  </si>
  <si>
    <t>*Base TCR without POA Capacity Form 3 B</t>
  </si>
  <si>
    <t>Form 5:  Annual Sharing of Total Transmission System Cost (TTSC) among Transmission System Users (TSU) Including POA Demand  (With True-up adjustment of FY 2022-23 &amp; FY 2023-24)</t>
  </si>
  <si>
    <t>*Base TCR with POA Capacity Form 3 A</t>
  </si>
  <si>
    <t xml:space="preserve"> Annual Sharing of Total Transmission System Cost (TTSC) among Transmission System Users (TSU) Excluding POA Demand (Without True-up adjustment of FY 2022-23 &amp; FY 2023-24)</t>
  </si>
  <si>
    <t>Annual Sharing of Total Transmission System Cost (TTSC) among Transmission System Users (TSU) Including POA Demand  (Without True-up adjustment of FY 2022-23 &amp; FY 2023-24)</t>
  </si>
  <si>
    <t>Form 6:  Monthly Total Transmission System Cost (TTSC) payable by Transmission System Users (TSU)</t>
  </si>
  <si>
    <t>True-up</t>
  </si>
  <si>
    <t>(a)</t>
  </si>
  <si>
    <t>(b)</t>
  </si>
  <si>
    <t>(c) = (b)-(a)</t>
  </si>
  <si>
    <t>(d)</t>
  </si>
  <si>
    <t>(e)</t>
  </si>
  <si>
    <t>(f) = (e)-(d)</t>
  </si>
  <si>
    <t>Excuding POA</t>
  </si>
  <si>
    <t>Annual</t>
  </si>
  <si>
    <t>Monthly</t>
  </si>
  <si>
    <t>Including POA</t>
  </si>
  <si>
    <t>Form 7: Recovery of ARR of Transmission Licensees</t>
  </si>
  <si>
    <t>Energy (Input) (MU)</t>
  </si>
  <si>
    <t>Energy (Sent out) (MU)</t>
  </si>
  <si>
    <t>Transmission Loss (%)</t>
  </si>
  <si>
    <t>Year</t>
  </si>
  <si>
    <t>FY 2017-18</t>
  </si>
  <si>
    <t>FY 2018-19</t>
  </si>
  <si>
    <t>FY 2019-20</t>
  </si>
  <si>
    <t>Growth on Input %</t>
  </si>
  <si>
    <t>Growth on Sent out %</t>
  </si>
  <si>
    <t>Average of % Growth</t>
  </si>
  <si>
    <t>Month</t>
  </si>
  <si>
    <t>Energy Input (Mus)</t>
  </si>
  <si>
    <t>Energy Output (Mus)</t>
  </si>
  <si>
    <t>Provisional Tr. Loss</t>
  </si>
  <si>
    <t>Month Number</t>
  </si>
  <si>
    <t>Scaling Factor</t>
  </si>
  <si>
    <t>(INR Cr)</t>
  </si>
  <si>
    <t>MYT Order (327 of 2019), Page No 40</t>
  </si>
  <si>
    <t>Truing-up</t>
  </si>
  <si>
    <t>MYT Order</t>
  </si>
  <si>
    <t>TTSC Billed</t>
  </si>
  <si>
    <t>Share of TTSC as per Actual TCR</t>
  </si>
  <si>
    <t>Difference payable/ (receivable)</t>
  </si>
  <si>
    <t>Short Term Charges (STC)</t>
  </si>
  <si>
    <t>Short Term Charges Adjustment Amount with True-up - Pro rata Reduction to Short Term Charges</t>
  </si>
  <si>
    <t xml:space="preserve">(c) </t>
  </si>
  <si>
    <t>(e) = (d) - (c)</t>
  </si>
  <si>
    <t>(f)</t>
  </si>
  <si>
    <t>(g) = (f) - (g)</t>
  </si>
  <si>
    <t>(h) = (f)-(h)</t>
  </si>
  <si>
    <t>Indian Railways (Deemed Distribution Licencee)</t>
  </si>
  <si>
    <t>Mindspace (Deemed Distribution Licencee)</t>
  </si>
  <si>
    <t>Gigaplex Properties (Deemed Distribution Licencee)</t>
  </si>
  <si>
    <t>KRC Infrastructure (Deemed Distribution Licencee)</t>
  </si>
  <si>
    <t>JNPT</t>
  </si>
  <si>
    <t>MTR Order (239 of 2022)</t>
  </si>
  <si>
    <t>Actual Average of CPD &amp; NCPD (TCR)</t>
  </si>
  <si>
    <t>Share of TTSC as per Actual TCR (%)</t>
  </si>
  <si>
    <t>Share of TTSC as per Actual TCR (INR Cr)</t>
  </si>
  <si>
    <t>Actual STC Data</t>
  </si>
  <si>
    <t>(g) = (f) - (c)</t>
  </si>
  <si>
    <t>(h)</t>
  </si>
  <si>
    <t xml:space="preserve">(i) </t>
  </si>
  <si>
    <t>(j)</t>
  </si>
  <si>
    <t>Surplus / Gap Carried Forwarded to FY 2025-26</t>
  </si>
  <si>
    <t>MYT Order (327 of 2019)</t>
  </si>
  <si>
    <t>Revisions based on Adjusted POA</t>
  </si>
  <si>
    <t>TTSC as per MYT Order (INR Cr)</t>
  </si>
  <si>
    <t>TTSC Billed (INR Cr)</t>
  </si>
  <si>
    <t>Actual Average of CPD &amp; NCPD (TCR) (MW)</t>
  </si>
  <si>
    <t>Average POA Demand (MW)</t>
  </si>
  <si>
    <t>Adjusted TCR (MW)</t>
  </si>
  <si>
    <t>Share of Avg CPD &amp; NCPD as per Adjusted TCR (%)</t>
  </si>
  <si>
    <t>Share of TTSC as per Adjusted TCR (INR Cr)</t>
  </si>
  <si>
    <t>Difference payable/ (receivable) based on Adjusted Base TCR (INR Cr)</t>
  </si>
  <si>
    <t>(c) = (b) - (a)</t>
  </si>
  <si>
    <t>(f) = (e) - (d)</t>
  </si>
  <si>
    <t>Total payable/ (receivable) based on Adjusted Base TCR (FY 2020-21 to FY 2023-24) (INR Cr)</t>
  </si>
  <si>
    <t>MYT Order (289 of 2022)</t>
  </si>
  <si>
    <t>MAHARASHTRA STATE ELECTRICITY TRANSMISSION COMPANY LTD.</t>
  </si>
  <si>
    <t>MTR Petition Formats - State Transmission Utility</t>
  </si>
  <si>
    <t>Form 5:  Annual Sharing of Total Transmission System Cost (TTSC) among Transmission System Users (TSU)</t>
  </si>
  <si>
    <t>Form 3: Base Transmission Capacity Rights</t>
  </si>
  <si>
    <t>Actual TTSC</t>
  </si>
  <si>
    <t>Share of TTSC (Rs. Crore) #</t>
  </si>
  <si>
    <t>Actual ATC</t>
  </si>
  <si>
    <t>Total Charges payable</t>
  </si>
  <si>
    <t>(c)</t>
  </si>
  <si>
    <t>(e) = (d)+(c)</t>
  </si>
  <si>
    <t>(f) = (e)-(a)</t>
  </si>
  <si>
    <t># Share of TTSC is computed based on Total Transmission charges Billed by STU and now to be reallocated to TSUs as per Actual Average of CPD &amp; NCPD.</t>
  </si>
  <si>
    <t># Share of TTSC is computed based on Total Transmission charges Billed by STU and now to be reallocated to TSUs as per Actual Average of CPD &amp; NCPD. It may be noted that ACTUAL Billed TTSC are shown in F6.</t>
  </si>
  <si>
    <t>Revised Projected</t>
  </si>
  <si>
    <t>Revised Projection</t>
  </si>
  <si>
    <t>KRC Infrastructure   (Deemed Distribution Licencee)</t>
  </si>
  <si>
    <t>AITL</t>
  </si>
  <si>
    <t>Revised Projections (including difference on account of true-up of Share for FY 2020-21 &amp; FY 2021-22)</t>
  </si>
  <si>
    <t>HADAPSAR SEZ</t>
  </si>
  <si>
    <t>MANJARI SEZ</t>
  </si>
  <si>
    <t>MITL</t>
  </si>
  <si>
    <t>MYT Order (239 of 2019), Page No 40</t>
  </si>
  <si>
    <t>Sr No</t>
  </si>
  <si>
    <t>Particular</t>
  </si>
  <si>
    <t>MTC Principal Amount</t>
  </si>
  <si>
    <t>MTC DPC</t>
  </si>
  <si>
    <t>ATC Principal Amount</t>
  </si>
  <si>
    <t>STC DPC</t>
  </si>
  <si>
    <t>Outstanding Balance as on 30 Oct 2024</t>
  </si>
  <si>
    <t xml:space="preserve">Mindspace </t>
  </si>
  <si>
    <t xml:space="preserve">Gigaplex Properties </t>
  </si>
  <si>
    <t xml:space="preserve">KRC Infrastructure </t>
  </si>
  <si>
    <t>Transmission Licensee</t>
  </si>
  <si>
    <t>Net ARR</t>
  </si>
  <si>
    <t>Revenue Gap / (Surplus)</t>
  </si>
  <si>
    <t>Cumulative Revenue Gap / (Surplus)</t>
  </si>
  <si>
    <t>Revised Petitioon Data</t>
  </si>
  <si>
    <t>LD chya data var</t>
  </si>
  <si>
    <t>Peak Demand MW</t>
  </si>
  <si>
    <t>Energy Sales MU</t>
  </si>
  <si>
    <t>Source</t>
  </si>
  <si>
    <t>Remark</t>
  </si>
  <si>
    <t>email from MSEDCL dated 09-12-2024</t>
  </si>
  <si>
    <t>From RA</t>
  </si>
  <si>
    <t>ST-DRAP MT-DRAP_dated 07-11-2024</t>
  </si>
  <si>
    <t>RA</t>
  </si>
  <si>
    <t>BEST_TPC-D Details Sales and Peak Demand_dated 09-12-2024</t>
  </si>
  <si>
    <t>MERC</t>
  </si>
  <si>
    <t>AEML-D Peak demand and Sales_dated 09-12-2024</t>
  </si>
  <si>
    <t>STU 19-11-2024 in email dated 19-11-24</t>
  </si>
  <si>
    <t>Letter</t>
  </si>
  <si>
    <t>Idam Data Template for MERC</t>
  </si>
  <si>
    <t xml:space="preserve">RA plan </t>
  </si>
  <si>
    <t>ST-DRAP MT-DRAP formats - MBPPL</t>
  </si>
  <si>
    <t>Sales projection and peak load of SEZ_dated 09-12-2024</t>
  </si>
  <si>
    <t xml:space="preserve">NUPLLP_STU_Demand dated </t>
  </si>
  <si>
    <t>As per letter from NIDAR</t>
  </si>
  <si>
    <t>not filed</t>
  </si>
  <si>
    <t>RA Plan submitted by MADC</t>
  </si>
  <si>
    <t>Sales and Peak Demand Data Shared_dated 09-12-2024</t>
  </si>
  <si>
    <t>AEML SEEPZ sales and Demand forecast_email_09-12-24</t>
  </si>
  <si>
    <t>File Share</t>
  </si>
  <si>
    <t>MITL-Bidkin</t>
  </si>
  <si>
    <t>MITL-Shendri</t>
  </si>
  <si>
    <t>AEMLD</t>
  </si>
  <si>
    <t>MU</t>
  </si>
  <si>
    <t>Average of CPD &amp; NCPD (MW)</t>
  </si>
  <si>
    <t>Nov 2023</t>
  </si>
  <si>
    <t>Dec 2023</t>
  </si>
  <si>
    <t>Jan 2024</t>
  </si>
  <si>
    <t>Feb 2024</t>
  </si>
  <si>
    <t>Mar 2024</t>
  </si>
  <si>
    <t>Apr 2024</t>
  </si>
  <si>
    <t>May 2024</t>
  </si>
  <si>
    <t>Jun 2024</t>
  </si>
  <si>
    <t>Jul 2024</t>
  </si>
  <si>
    <t>Aug 2024</t>
  </si>
  <si>
    <t>Sep 2024</t>
  </si>
  <si>
    <t>Oct 2024</t>
  </si>
  <si>
    <t>Base TCR</t>
  </si>
  <si>
    <t>Coincident Peak Demand</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</si>
  <si>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</si>
  <si>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</si>
  <si>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</si>
  <si>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</si>
  <si>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</si>
  <si>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</si>
  <si>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</si>
  <si>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</si>
  <si>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</si>
  <si>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</si>
  <si>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</si>
  <si>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</si>
  <si>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</si>
  <si>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</si>
  <si>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</si>
  <si>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</si>
  <si>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</si>
  <si>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</si>
  <si>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</si>
  <si>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</si>
  <si>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</si>
  <si>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</si>
  <si>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</si>
  <si>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</si>
  <si>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</si>
  <si>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</si>
  <si>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</si>
  <si>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</si>
  <si>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</si>
  <si>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</si>
  <si>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</si>
  <si>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</si>
  <si>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</si>
  <si>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</si>
  <si>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</si>
  <si>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</si>
  <si>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</si>
  <si>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</si>
  <si>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</si>
  <si>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</si>
  <si>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</si>
  <si>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</si>
  <si>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</si>
  <si>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Non Coincident Peak Demand</t>
  </si>
  <si>
    <t>Average of CPD &amp; NCPD</t>
  </si>
  <si>
    <t>3 Year CAGR</t>
  </si>
  <si>
    <t>YOY Growth</t>
  </si>
  <si>
    <t>FY24-25</t>
  </si>
  <si>
    <t>FY25-26</t>
  </si>
  <si>
    <t>FY26-27</t>
  </si>
  <si>
    <t>FY27-28</t>
  </si>
  <si>
    <t>FY28-29</t>
  </si>
  <si>
    <t>FY29-30</t>
  </si>
  <si>
    <t>4 Year CAGR</t>
  </si>
  <si>
    <t>RA Plan submitted by Mindspace</t>
  </si>
  <si>
    <t>RA Plan submitted by KRC</t>
  </si>
  <si>
    <t>Sales Projections</t>
  </si>
  <si>
    <t>Claue 83.2 - Provided also that the Yearly CPD and NCPD or the Allotted capacity, as the case may be, to be considered for determination of the subsequent yearly Base Transmission Capacity Rights shall be computed at the beginning of the Control Period based on the past trend and on the basis of demand projections made by various TSUs connected to the Intra-State transmission system as part of their MYT Petitions for the Control Period:</t>
  </si>
  <si>
    <t>Average of CPD - NCPD</t>
  </si>
  <si>
    <t>Based on demand projections by TSUs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</si>
</sst>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 #,##0.00_ ;_ * \-#,##0.00_ ;_ * &quot;-&quot;??_ ;_ @_ "/>
    <numFmt numFmtId="165" formatCode="_-* #,##0.00_-;\-* #,##0.00_-;_-* &quot;-&quot;??_-;_-@_-"/>
    <numFmt numFmtId="166" formatCode="0.00_)"/>
    <numFmt numFmtId="167" formatCode="&quot;ß&quot;#,##0.00_);\(&quot;ß&quot;#,##0.00\)"/>
    <numFmt numFmtId="168" formatCode="0.000"/>
    <numFmt numFmtId="169" formatCode="0.0"/>
    <numFmt numFmtId="170" formatCode="0.000%"/>
    <numFmt numFmtId="171" formatCode="0.0%"/>
    <numFmt numFmtId="172" formatCode="#,##0.000000"/>
    <numFmt numFmtId="173" formatCode="_ * #,##0.0000_ ;_ * \-#,##0.0000_ ;_ * &quot;-&quot;??_ ;_ @_ "/>
    <numFmt numFmtId="174" formatCode="_ * #,##0.000_ ;_ * \-#,##0.000_ ;_ * &quot;-&quot;??_ ;_ @_ "/>
  </numFmts>
  <fonts count="5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b/>
      <sz val="11"/>
      <name val="Times New Roman"/>
      <family val="1"/>
    </font>
    <font>
      <sz val="10"/>
      <name val="Times New Roman"/>
      <family val="1"/>
    </font>
    <font>
      <b/>
      <sz val="12"/>
      <name val="Times New Roman"/>
      <family val="1"/>
    </font>
    <font>
      <sz val="12"/>
      <name val="Arial"/>
      <family val="2"/>
    </font>
    <font>
      <sz val="12"/>
      <name val="Times New Roman"/>
      <family val="1"/>
    </font>
    <font>
      <sz val="10"/>
      <name val="Arial"/>
      <family val="2"/>
    </font>
    <font>
      <sz val="10"/>
      <name val="Arial"/>
      <family val="2"/>
    </font>
    <font>
      <sz val="12"/>
      <name val="Tms Rmn"/>
    </font>
    <font>
      <sz val="10"/>
      <name val="Helv"/>
    </font>
    <font>
      <sz val="8"/>
      <name val="Arial"/>
      <family val="2"/>
    </font>
    <font>
      <b/>
      <sz val="12"/>
      <name val="Arial"/>
      <family val="2"/>
    </font>
    <font>
      <sz val="7"/>
      <name val="Small Fonts"/>
      <family val="2"/>
    </font>
    <font>
      <b/>
      <i/>
      <sz val="16"/>
      <name val="Helv"/>
    </font>
    <font>
      <sz val="11"/>
      <name val="Arial"/>
      <family val="2"/>
    </font>
    <font>
      <sz val="11"/>
      <color theme="1"/>
      <name val="Calibri"/>
      <family val="2"/>
      <scheme val="minor"/>
    </font>
    <font>
      <sz val="11"/>
      <color indexed="8"/>
      <name val="Calibri"/>
      <family val="2"/>
    </font>
    <font>
      <sz val="11"/>
      <color theme="1"/>
      <name val="Calibri"/>
      <family val="2"/>
    </font>
    <font>
      <i/>
      <sz val="11"/>
      <name val="Times New Roman"/>
      <family val="1"/>
    </font>
    <font>
      <b/>
      <sz val="11"/>
      <name val="Arial"/>
      <family val="2"/>
    </font>
    <font>
      <sz val="10"/>
      <name val="Arial"/>
      <family val="2"/>
    </font>
    <font>
      <sz val="10"/>
      <color theme="1"/>
      <name val="Adani Regular"/>
    </font>
    <font>
      <sz val="10"/>
      <name val="Arial"/>
      <family val="2"/>
    </font>
    <font>
      <u/>
      <sz val="10"/>
      <color theme="10"/>
      <name val="Arial"/>
      <family val="2"/>
    </font>
    <font>
      <sz val="10"/>
      <color rgb="FF000000"/>
      <name val="Times New Roman"/>
      <family val="1"/>
    </font>
    <font>
      <b/>
      <sz val="10"/>
      <name val="Times New Roman"/>
      <family val="1"/>
    </font>
    <font>
      <b/>
      <sz val="9"/>
      <name val="Times New Roman"/>
      <family val="1"/>
    </font>
    <font>
      <b/>
      <i/>
      <sz val="10"/>
      <name val="Times New Roman"/>
      <family val="1"/>
    </font>
    <font>
      <sz val="11"/>
      <color theme="1"/>
      <name val="Times New Roman"/>
      <family val="1"/>
    </font>
    <font>
      <sz val="11"/>
      <color theme="5" tint="-0.499984740745262"/>
      <name val="Times New Roman"/>
      <family val="1"/>
    </font>
    <font>
      <i/>
      <sz val="10"/>
      <name val="Arial"/>
      <family val="2"/>
    </font>
    <font>
      <b/>
      <sz val="11"/>
      <color theme="1"/>
      <name val="Calibri"/>
      <family val="2"/>
      <scheme val="minor"/>
    </font>
    <font>
      <b/>
      <sz val="11"/>
      <color rgb="FF000000"/>
      <name val="Calibri"/>
      <family val="2"/>
    </font>
    <font>
      <i/>
      <sz val="10"/>
      <name val="Times New Roman"/>
      <family val="1"/>
    </font>
    <font>
      <i/>
      <sz val="8"/>
      <name val="Times New Roman"/>
      <family val="1"/>
    </font>
    <font>
      <i/>
      <sz val="8"/>
      <color theme="1"/>
      <name val="Calibri"/>
      <family val="2"/>
      <scheme val="minor"/>
    </font>
    <font>
      <b/>
      <sz val="10"/>
      <color theme="9" tint="-0.249977111117893"/>
      <name val="Arial"/>
      <family val="2"/>
    </font>
    <font>
      <sz val="10"/>
      <color theme="9" tint="-0.249977111117893"/>
      <name val="Arial"/>
      <family val="2"/>
    </font>
    <font>
      <sz val="10"/>
      <color rgb="FF00B050"/>
      <name val="Times New Roman"/>
      <family val="1"/>
    </font>
    <font>
      <b/>
      <sz val="10"/>
      <name val="Arial"/>
      <family val="2"/>
    </font>
    <font>
      <sz val="11"/>
      <color rgb="FF000000"/>
      <name val="Calibri"/>
      <family val="2"/>
      <scheme val="minor"/>
    </font>
    <font>
      <sz val="11"/>
      <color theme="1"/>
      <name val="book"/>
      <family val="2"/>
    </font>
    <font>
      <sz val="11"/>
      <color indexed="8"/>
      <name val="Calibri"/>
      <family val="2"/>
      <charset val="134"/>
    </font>
    <font>
      <sz val="12"/>
      <color theme="1"/>
      <name val="Calibri"/>
      <family val="2"/>
      <scheme val="minor"/>
    </font>
    <font>
      <sz val="11"/>
      <color rgb="FF000000"/>
      <name val="Times New Roman"/>
      <family val="1"/>
    </font>
    <font>
      <b/>
      <sz val="11"/>
      <color rgb="FF000000"/>
      <name val="Times New Roman"/>
      <family val="1"/>
    </font>
  </fonts>
  <fills count="1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theme="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ABF8F"/>
        <bgColor rgb="FF000000"/>
      </patternFill>
    </fill>
    <fill>
      <patternFill patternType="solid">
        <fgColor theme="0" tint="-0.34998626667073579"/>
        <bgColor indexed="64"/>
      </patternFill>
    </fill>
    <fill>
      <patternFill patternType="solid">
        <fgColor rgb="FFFCD5B4"/>
        <bgColor rgb="FF000000"/>
      </patternFill>
    </fill>
    <fill>
      <patternFill patternType="solid">
        <fgColor rgb="FF92D05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6" tint="0.79998168889431442"/>
        <bgColor indexed="64"/>
      </patternFill>
    </fill>
  </fills>
  <borders count="35">
    <border>
      <left/>
      <right/>
      <top/>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11">
    <xf numFmtId="0" fontId="0" fillId="0" borderId="0"/>
    <xf numFmtId="0" fontId="14" fillId="0" borderId="0" applyNumberFormat="0" applyFill="0" applyBorder="0" applyAlignment="0" applyProtection="0"/>
    <xf numFmtId="0" fontId="15" fillId="0" borderId="1"/>
    <xf numFmtId="0" fontId="15" fillId="0" borderId="1"/>
    <xf numFmtId="38" fontId="16" fillId="2" borderId="0" applyNumberFormat="0" applyBorder="0" applyAlignment="0" applyProtection="0"/>
    <xf numFmtId="0" fontId="17" fillId="0" borderId="2" applyNumberFormat="0" applyAlignment="0" applyProtection="0">
      <alignment horizontal="left" vertical="center"/>
    </xf>
    <xf numFmtId="0" fontId="17" fillId="0" borderId="3">
      <alignment horizontal="left" vertical="center"/>
    </xf>
    <xf numFmtId="10" fontId="16" fillId="3" borderId="4" applyNumberFormat="0" applyBorder="0" applyAlignment="0" applyProtection="0"/>
    <xf numFmtId="37" fontId="18" fillId="0" borderId="0"/>
    <xf numFmtId="166" fontId="19" fillId="0" borderId="0"/>
    <xf numFmtId="0" fontId="12" fillId="0" borderId="0"/>
    <xf numFmtId="0" fontId="12" fillId="0" borderId="0"/>
    <xf numFmtId="0" fontId="8" fillId="0" borderId="0"/>
    <xf numFmtId="0" fontId="8" fillId="0" borderId="0"/>
    <xf numFmtId="0" fontId="5" fillId="0" borderId="0">
      <alignment vertical="center"/>
    </xf>
    <xf numFmtId="0" fontId="12" fillId="0" borderId="0">
      <alignment vertical="center"/>
    </xf>
    <xf numFmtId="0" fontId="13" fillId="0" borderId="0">
      <alignment vertical="center"/>
    </xf>
    <xf numFmtId="167" fontId="12" fillId="0" borderId="0" applyFont="0" applyFill="0" applyBorder="0" applyAlignment="0" applyProtection="0"/>
    <xf numFmtId="10" fontId="12" fillId="0" borderId="0" applyFont="0" applyFill="0" applyBorder="0" applyAlignment="0" applyProtection="0"/>
    <xf numFmtId="0" fontId="12" fillId="0" borderId="0"/>
    <xf numFmtId="0" fontId="5" fillId="0" borderId="0" applyBorder="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5" fillId="0" borderId="0"/>
    <xf numFmtId="0" fontId="5" fillId="0" borderId="0"/>
    <xf numFmtId="0" fontId="5" fillId="0" borderId="0">
      <alignment vertical="center"/>
    </xf>
    <xf numFmtId="167" fontId="5" fillId="0" borderId="0" applyFont="0" applyFill="0" applyBorder="0" applyAlignment="0" applyProtection="0"/>
    <xf numFmtId="9" fontId="5" fillId="0" borderId="0" applyFont="0" applyFill="0" applyBorder="0" applyAlignment="0" applyProtection="0"/>
    <xf numFmtId="0" fontId="5" fillId="0" borderId="0"/>
    <xf numFmtId="167" fontId="5" fillId="0" borderId="0" applyFont="0" applyFill="0" applyBorder="0" applyAlignment="0" applyProtection="0"/>
    <xf numFmtId="167"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164" fontId="22" fillId="0" borderId="0" applyFont="0" applyFill="0" applyBorder="0" applyAlignment="0" applyProtection="0"/>
    <xf numFmtId="165" fontId="22" fillId="0" borderId="0" applyFont="0" applyFill="0" applyBorder="0" applyAlignment="0" applyProtection="0"/>
    <xf numFmtId="0" fontId="5" fillId="0" borderId="0"/>
    <xf numFmtId="0" fontId="5" fillId="0" borderId="0"/>
    <xf numFmtId="0" fontId="5" fillId="0" borderId="0"/>
    <xf numFmtId="0" fontId="23" fillId="0" borderId="0"/>
    <xf numFmtId="0" fontId="4" fillId="0" borderId="0"/>
    <xf numFmtId="0" fontId="22" fillId="0" borderId="0"/>
    <xf numFmtId="0" fontId="22" fillId="0" borderId="0"/>
    <xf numFmtId="0" fontId="4"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8" fillId="0" borderId="0"/>
    <xf numFmtId="0" fontId="5" fillId="0" borderId="0"/>
    <xf numFmtId="0" fontId="5" fillId="0" borderId="0"/>
    <xf numFmtId="167" fontId="22" fillId="0" borderId="0" applyFont="0" applyFill="0" applyBorder="0" applyAlignment="0" applyProtection="0"/>
    <xf numFmtId="0" fontId="5" fillId="0" borderId="0"/>
    <xf numFmtId="9" fontId="5" fillId="0" borderId="0" applyFont="0" applyFill="0" applyBorder="0" applyAlignment="0" applyProtection="0"/>
    <xf numFmtId="9" fontId="26" fillId="0" borderId="0" applyFont="0" applyFill="0" applyBorder="0" applyAlignment="0" applyProtection="0"/>
    <xf numFmtId="164" fontId="28" fillId="0" borderId="0" applyFont="0" applyFill="0" applyBorder="0" applyAlignment="0" applyProtection="0"/>
    <xf numFmtId="0" fontId="29" fillId="0" borderId="0" applyNumberForma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164" fontId="6" fillId="0" borderId="0" applyFont="0" applyFill="0" applyBorder="0" applyAlignment="0" applyProtection="0"/>
    <xf numFmtId="0" fontId="6"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0" fillId="0" borderId="0"/>
    <xf numFmtId="164" fontId="3" fillId="0" borderId="0" applyFont="0" applyFill="0" applyBorder="0" applyAlignment="0" applyProtection="0"/>
    <xf numFmtId="9" fontId="3" fillId="0" borderId="0" applyFont="0" applyFill="0" applyBorder="0" applyAlignment="0" applyProtection="0"/>
    <xf numFmtId="0" fontId="30" fillId="0" borderId="0"/>
    <xf numFmtId="9"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0" fillId="0" borderId="0"/>
    <xf numFmtId="164" fontId="3" fillId="0" borderId="0" applyFont="0" applyFill="0" applyBorder="0" applyAlignment="0" applyProtection="0"/>
    <xf numFmtId="0" fontId="3" fillId="0" borderId="0"/>
    <xf numFmtId="9" fontId="30"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30" fillId="0" borderId="0"/>
    <xf numFmtId="164" fontId="3" fillId="0" borderId="0" applyFont="0" applyFill="0" applyBorder="0" applyAlignment="0" applyProtection="0"/>
    <xf numFmtId="0" fontId="30"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164" fontId="5" fillId="0" borderId="0" applyFont="0" applyFill="0" applyBorder="0" applyAlignment="0" applyProtection="0"/>
    <xf numFmtId="0" fontId="2" fillId="0" borderId="0"/>
    <xf numFmtId="9" fontId="2"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9" fillId="0" borderId="0" applyNumberFormat="0" applyFill="0" applyBorder="0" applyAlignment="0" applyProtection="0">
      <alignment vertical="top"/>
      <protection locked="0"/>
    </xf>
    <xf numFmtId="0" fontId="5"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3" fillId="0" borderId="0"/>
    <xf numFmtId="0" fontId="5" fillId="0" borderId="0"/>
    <xf numFmtId="0" fontId="8" fillId="0" borderId="0"/>
    <xf numFmtId="0" fontId="47" fillId="0" borderId="0"/>
    <xf numFmtId="0" fontId="8" fillId="0" borderId="0"/>
    <xf numFmtId="0" fontId="8" fillId="0" borderId="0"/>
    <xf numFmtId="0" fontId="8" fillId="0" borderId="0"/>
    <xf numFmtId="0" fontId="8" fillId="0" borderId="0"/>
    <xf numFmtId="0" fontId="1" fillId="0" borderId="0"/>
    <xf numFmtId="0" fontId="8" fillId="0" borderId="0"/>
    <xf numFmtId="10"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477">
    <xf numFmtId="0" fontId="0" fillId="0" borderId="0" xfId="0"/>
    <xf numFmtId="0" fontId="6" fillId="0" borderId="0" xfId="0" applyFont="1"/>
    <xf numFmtId="0" fontId="7" fillId="0" borderId="0" xfId="0" applyFont="1" applyAlignment="1">
      <alignment horizontal="centerContinuous"/>
    </xf>
    <xf numFmtId="0" fontId="6" fillId="0" borderId="0" xfId="14" applyFont="1">
      <alignment vertical="center"/>
    </xf>
    <xf numFmtId="0" fontId="6" fillId="0" borderId="4" xfId="14" applyFont="1" applyBorder="1">
      <alignment vertical="center"/>
    </xf>
    <xf numFmtId="0" fontId="7" fillId="0" borderId="0" xfId="14" applyFont="1" applyAlignment="1">
      <alignment horizontal="right" vertical="center"/>
    </xf>
    <xf numFmtId="0" fontId="7" fillId="0" borderId="0" xfId="0" applyFont="1" applyAlignment="1">
      <alignment horizontal="left"/>
    </xf>
    <xf numFmtId="0" fontId="7" fillId="0" borderId="0" xfId="0" applyFont="1" applyAlignment="1">
      <alignment horizontal="right"/>
    </xf>
    <xf numFmtId="0" fontId="7" fillId="0" borderId="0" xfId="0" applyFont="1"/>
    <xf numFmtId="0" fontId="6" fillId="0" borderId="0" xfId="0" applyFont="1" applyAlignment="1">
      <alignment vertical="top"/>
    </xf>
    <xf numFmtId="0" fontId="6" fillId="0" borderId="4" xfId="0" applyFont="1" applyBorder="1" applyAlignment="1">
      <alignment vertical="top"/>
    </xf>
    <xf numFmtId="0" fontId="6" fillId="0" borderId="4" xfId="0" applyFont="1" applyBorder="1"/>
    <xf numFmtId="0" fontId="7" fillId="0" borderId="0" xfId="14" applyFont="1">
      <alignment vertical="center"/>
    </xf>
    <xf numFmtId="0" fontId="10" fillId="0" borderId="0" xfId="0" applyFont="1" applyAlignment="1">
      <alignment horizontal="center" vertical="center"/>
    </xf>
    <xf numFmtId="0" fontId="11" fillId="0" borderId="0" xfId="14" applyFont="1">
      <alignment vertical="center"/>
    </xf>
    <xf numFmtId="0" fontId="9" fillId="0" borderId="0" xfId="14" applyFont="1" applyAlignment="1">
      <alignment horizontal="right" vertical="center"/>
    </xf>
    <xf numFmtId="0" fontId="6" fillId="0" borderId="0" xfId="15" applyFont="1">
      <alignment vertical="center"/>
    </xf>
    <xf numFmtId="0" fontId="6" fillId="0" borderId="0" xfId="10" applyFont="1"/>
    <xf numFmtId="0" fontId="6" fillId="0" borderId="4" xfId="15" applyFont="1" applyBorder="1">
      <alignment vertical="center"/>
    </xf>
    <xf numFmtId="0" fontId="11" fillId="0" borderId="0" xfId="0" applyFont="1"/>
    <xf numFmtId="0" fontId="11" fillId="0" borderId="4" xfId="16" applyFont="1" applyBorder="1">
      <alignment vertical="center"/>
    </xf>
    <xf numFmtId="0" fontId="11" fillId="0" borderId="4" xfId="16" applyFont="1" applyBorder="1" applyAlignment="1">
      <alignment vertical="top" wrapText="1"/>
    </xf>
    <xf numFmtId="0" fontId="11" fillId="0" borderId="4" xfId="16" applyFont="1" applyBorder="1" applyAlignment="1">
      <alignment horizontal="center" vertical="center"/>
    </xf>
    <xf numFmtId="0" fontId="9" fillId="0" borderId="0" xfId="16" applyFont="1" applyAlignment="1">
      <alignment horizontal="right" vertical="center"/>
    </xf>
    <xf numFmtId="0" fontId="9" fillId="0" borderId="0" xfId="16" applyFont="1">
      <alignment vertical="center"/>
    </xf>
    <xf numFmtId="0" fontId="11" fillId="0" borderId="0" xfId="16" applyFont="1">
      <alignment vertical="center"/>
    </xf>
    <xf numFmtId="0" fontId="11" fillId="5" borderId="4" xfId="14" applyFont="1" applyFill="1" applyBorder="1">
      <alignment vertical="center"/>
    </xf>
    <xf numFmtId="0" fontId="6" fillId="0" borderId="0" xfId="14" applyFont="1" applyAlignment="1">
      <alignment horizontal="center" vertical="center"/>
    </xf>
    <xf numFmtId="0" fontId="11" fillId="0" borderId="0" xfId="14" applyFont="1" applyAlignment="1">
      <alignment horizontal="center" vertical="center"/>
    </xf>
    <xf numFmtId="0" fontId="11" fillId="0" borderId="4" xfId="14" applyFont="1" applyBorder="1" applyAlignment="1">
      <alignment horizontal="center" vertical="center"/>
    </xf>
    <xf numFmtId="0" fontId="6" fillId="0" borderId="0" xfId="15" applyFont="1" applyAlignment="1">
      <alignment horizontal="center" vertical="center"/>
    </xf>
    <xf numFmtId="0" fontId="7" fillId="0" borderId="4" xfId="0" applyFont="1" applyBorder="1"/>
    <xf numFmtId="0" fontId="7" fillId="0" borderId="0" xfId="10" applyFont="1"/>
    <xf numFmtId="0" fontId="7" fillId="0" borderId="0" xfId="10" applyFont="1" applyAlignment="1">
      <alignment horizontal="center" wrapText="1"/>
    </xf>
    <xf numFmtId="0" fontId="6" fillId="0" borderId="0" xfId="15" applyFont="1" applyAlignment="1">
      <alignment vertical="center" wrapText="1"/>
    </xf>
    <xf numFmtId="0" fontId="6" fillId="0" borderId="0" xfId="0" applyFont="1" applyAlignment="1">
      <alignment vertical="center"/>
    </xf>
    <xf numFmtId="0" fontId="6" fillId="0" borderId="0" xfId="38" applyFont="1"/>
    <xf numFmtId="0" fontId="7" fillId="0" borderId="0" xfId="38" applyFont="1" applyAlignment="1">
      <alignment horizontal="center" vertical="center"/>
    </xf>
    <xf numFmtId="0" fontId="6" fillId="0" borderId="0" xfId="26" applyFont="1">
      <alignment vertical="center"/>
    </xf>
    <xf numFmtId="0" fontId="7" fillId="0" borderId="0" xfId="38" applyFont="1" applyAlignment="1">
      <alignment horizontal="left"/>
    </xf>
    <xf numFmtId="0" fontId="7" fillId="0" borderId="0" xfId="38" applyFont="1" applyAlignment="1">
      <alignment vertical="center"/>
    </xf>
    <xf numFmtId="0" fontId="7" fillId="0" borderId="0" xfId="26" applyFont="1" applyAlignment="1">
      <alignment horizontal="right" vertical="center"/>
    </xf>
    <xf numFmtId="0" fontId="6" fillId="0" borderId="4" xfId="38" applyFont="1" applyBorder="1" applyAlignment="1">
      <alignment vertical="center"/>
    </xf>
    <xf numFmtId="0" fontId="6" fillId="0" borderId="0" xfId="38" applyFont="1" applyAlignment="1">
      <alignment vertical="center"/>
    </xf>
    <xf numFmtId="0" fontId="6" fillId="0" borderId="4" xfId="38" applyFont="1" applyBorder="1" applyAlignment="1">
      <alignment horizontal="left" vertical="center"/>
    </xf>
    <xf numFmtId="0" fontId="7" fillId="4" borderId="4" xfId="15" applyFont="1" applyFill="1" applyBorder="1" applyAlignment="1">
      <alignment horizontal="center" vertical="center" wrapText="1"/>
    </xf>
    <xf numFmtId="0" fontId="7" fillId="0" borderId="0" xfId="10" applyFont="1" applyAlignment="1">
      <alignment horizontal="center" vertical="center"/>
    </xf>
    <xf numFmtId="0" fontId="20" fillId="0" borderId="0" xfId="38" applyFont="1" applyAlignment="1">
      <alignment horizontal="center" vertical="center"/>
    </xf>
    <xf numFmtId="0" fontId="7" fillId="0" borderId="0" xfId="0" applyFont="1" applyAlignment="1">
      <alignment horizontal="center"/>
    </xf>
    <xf numFmtId="0" fontId="6" fillId="0" borderId="0" xfId="0" applyFont="1" applyAlignment="1">
      <alignment horizontal="center"/>
    </xf>
    <xf numFmtId="0" fontId="7" fillId="4" borderId="4" xfId="26" applyFont="1" applyFill="1" applyBorder="1" applyAlignment="1">
      <alignment horizontal="center" vertical="center" wrapText="1"/>
    </xf>
    <xf numFmtId="0" fontId="9" fillId="0" borderId="0" xfId="0" applyFont="1" applyAlignment="1">
      <alignment horizontal="center"/>
    </xf>
    <xf numFmtId="0" fontId="7" fillId="0" borderId="0" xfId="15" applyFont="1" applyAlignment="1">
      <alignment horizontal="center" vertical="center"/>
    </xf>
    <xf numFmtId="0" fontId="9" fillId="0" borderId="4" xfId="16" applyFont="1" applyBorder="1" applyAlignment="1">
      <alignment vertical="center" wrapText="1"/>
    </xf>
    <xf numFmtId="0" fontId="11" fillId="5" borderId="4" xfId="14" applyFont="1" applyFill="1" applyBorder="1" applyAlignment="1">
      <alignment vertical="center" wrapText="1"/>
    </xf>
    <xf numFmtId="0" fontId="7" fillId="0" borderId="4" xfId="38" applyFont="1" applyBorder="1"/>
    <xf numFmtId="0" fontId="6" fillId="0" borderId="4" xfId="38" applyFont="1" applyBorder="1"/>
    <xf numFmtId="0" fontId="9" fillId="0" borderId="0" xfId="0" applyFont="1"/>
    <xf numFmtId="0" fontId="9" fillId="0" borderId="0" xfId="0" applyFont="1" applyAlignment="1">
      <alignment vertical="top"/>
    </xf>
    <xf numFmtId="0" fontId="7" fillId="0" borderId="4" xfId="38" applyFont="1" applyBorder="1" applyAlignment="1">
      <alignment vertical="center"/>
    </xf>
    <xf numFmtId="0" fontId="6" fillId="0" borderId="4" xfId="38" applyFont="1" applyBorder="1" applyAlignment="1">
      <alignment vertical="center" wrapText="1"/>
    </xf>
    <xf numFmtId="0" fontId="6" fillId="0" borderId="4" xfId="38" applyFont="1" applyBorder="1" applyAlignment="1">
      <alignment horizontal="center" vertical="center" wrapText="1"/>
    </xf>
    <xf numFmtId="0" fontId="6" fillId="0" borderId="4" xfId="38" applyFont="1" applyBorder="1" applyAlignment="1">
      <alignment horizontal="left" vertical="center" wrapText="1"/>
    </xf>
    <xf numFmtId="0" fontId="7" fillId="0" borderId="4" xfId="38" applyFont="1" applyBorder="1" applyAlignment="1">
      <alignment wrapText="1"/>
    </xf>
    <xf numFmtId="0" fontId="11" fillId="5" borderId="4" xfId="14" applyFont="1" applyFill="1" applyBorder="1" applyAlignment="1">
      <alignment horizontal="center" vertical="center"/>
    </xf>
    <xf numFmtId="0" fontId="6" fillId="0" borderId="4" xfId="0" applyFont="1" applyBorder="1" applyAlignment="1">
      <alignment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xf>
    <xf numFmtId="0" fontId="6" fillId="0" borderId="4" xfId="0" applyFont="1" applyBorder="1" applyAlignment="1">
      <alignment horizontal="center" vertical="center" wrapText="1"/>
    </xf>
    <xf numFmtId="0" fontId="7" fillId="7"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24" fillId="0" borderId="0" xfId="0" applyFont="1"/>
    <xf numFmtId="0" fontId="25" fillId="0" borderId="0" xfId="38" applyFont="1" applyAlignment="1">
      <alignment horizontal="center" vertical="center"/>
    </xf>
    <xf numFmtId="0" fontId="7" fillId="0" borderId="0" xfId="38" applyFont="1" applyAlignment="1">
      <alignment horizontal="center" wrapText="1"/>
    </xf>
    <xf numFmtId="0" fontId="7" fillId="0" borderId="0" xfId="38" applyFont="1"/>
    <xf numFmtId="0" fontId="11" fillId="0" borderId="6" xfId="16" applyFont="1" applyBorder="1" applyAlignment="1">
      <alignment vertical="top"/>
    </xf>
    <xf numFmtId="0" fontId="11" fillId="0" borderId="4" xfId="16" applyFont="1" applyBorder="1" applyAlignment="1">
      <alignment vertical="top"/>
    </xf>
    <xf numFmtId="0" fontId="6" fillId="0" borderId="4" xfId="0" applyFont="1" applyBorder="1" applyAlignment="1">
      <alignment vertical="top" wrapText="1"/>
    </xf>
    <xf numFmtId="0" fontId="7" fillId="0" borderId="4" xfId="0" applyFont="1" applyBorder="1" applyAlignment="1">
      <alignment vertical="top" wrapText="1"/>
    </xf>
    <xf numFmtId="0" fontId="7" fillId="0" borderId="4" xfId="0" applyFont="1" applyBorder="1" applyAlignment="1">
      <alignment vertical="center" wrapText="1"/>
    </xf>
    <xf numFmtId="0" fontId="6" fillId="0" borderId="4" xfId="38" applyFont="1" applyBorder="1" applyAlignment="1">
      <alignment vertical="top"/>
    </xf>
    <xf numFmtId="0" fontId="6" fillId="0" borderId="4" xfId="38" applyFont="1" applyBorder="1" applyAlignment="1">
      <alignment horizontal="left" vertical="top"/>
    </xf>
    <xf numFmtId="0" fontId="6" fillId="0" borderId="4" xfId="38" applyFont="1" applyBorder="1" applyAlignment="1">
      <alignment horizontal="left" vertical="top" wrapText="1"/>
    </xf>
    <xf numFmtId="4" fontId="6"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vertical="top"/>
    </xf>
    <xf numFmtId="2" fontId="7" fillId="0" borderId="0" xfId="0" applyNumberFormat="1" applyFont="1" applyAlignment="1">
      <alignment vertical="top"/>
    </xf>
    <xf numFmtId="4" fontId="6" fillId="5" borderId="4" xfId="0" applyNumberFormat="1" applyFont="1" applyFill="1" applyBorder="1" applyAlignment="1">
      <alignment horizontal="center" vertical="center"/>
    </xf>
    <xf numFmtId="0" fontId="7" fillId="0" borderId="4" xfId="38" applyFont="1" applyBorder="1" applyAlignment="1">
      <alignment horizontal="center" vertical="center"/>
    </xf>
    <xf numFmtId="0" fontId="7" fillId="0" borderId="4" xfId="38" applyFont="1" applyBorder="1" applyAlignment="1">
      <alignment horizontal="center" vertical="center" wrapText="1"/>
    </xf>
    <xf numFmtId="2" fontId="6" fillId="0" borderId="4" xfId="38" applyNumberFormat="1" applyFont="1" applyBorder="1" applyAlignment="1">
      <alignment horizontal="center" vertical="center"/>
    </xf>
    <xf numFmtId="2" fontId="6" fillId="0" borderId="4" xfId="38" applyNumberFormat="1" applyFont="1" applyBorder="1" applyAlignment="1">
      <alignment horizontal="center"/>
    </xf>
    <xf numFmtId="2" fontId="7" fillId="0" borderId="0" xfId="0" applyNumberFormat="1" applyFont="1"/>
    <xf numFmtId="169" fontId="6" fillId="0" borderId="0" xfId="0" applyNumberFormat="1" applyFont="1"/>
    <xf numFmtId="9" fontId="7" fillId="0" borderId="4" xfId="64" applyFont="1" applyBorder="1" applyAlignment="1">
      <alignment horizontal="center" vertical="center"/>
    </xf>
    <xf numFmtId="0" fontId="6" fillId="0" borderId="4" xfId="38" applyFont="1" applyBorder="1" applyAlignment="1">
      <alignment horizontal="center" vertical="center"/>
    </xf>
    <xf numFmtId="0" fontId="11" fillId="0" borderId="4" xfId="16" applyFont="1" applyBorder="1" applyAlignment="1">
      <alignment horizontal="center"/>
    </xf>
    <xf numFmtId="0" fontId="11" fillId="0" borderId="4" xfId="16" applyFont="1" applyBorder="1" applyAlignment="1">
      <alignment horizontal="center" wrapText="1"/>
    </xf>
    <xf numFmtId="0" fontId="9" fillId="0" borderId="4" xfId="16" applyFont="1" applyBorder="1" applyAlignment="1">
      <alignment horizontal="center"/>
    </xf>
    <xf numFmtId="4" fontId="11" fillId="0" borderId="0" xfId="16" applyNumberFormat="1" applyFont="1">
      <alignment vertical="center"/>
    </xf>
    <xf numFmtId="4" fontId="6" fillId="0" borderId="0" xfId="14" applyNumberFormat="1" applyFont="1">
      <alignment vertical="center"/>
    </xf>
    <xf numFmtId="0" fontId="27" fillId="0" borderId="0" xfId="0" applyFont="1" applyAlignment="1">
      <alignment horizontal="right" vertical="center" wrapText="1"/>
    </xf>
    <xf numFmtId="2" fontId="6" fillId="0" borderId="0" xfId="15" applyNumberFormat="1" applyFont="1">
      <alignment vertical="center"/>
    </xf>
    <xf numFmtId="0" fontId="7" fillId="0" borderId="0" xfId="15" applyFont="1">
      <alignment vertical="center"/>
    </xf>
    <xf numFmtId="0" fontId="7" fillId="0" borderId="4" xfId="15" applyFont="1" applyBorder="1">
      <alignment vertical="center"/>
    </xf>
    <xf numFmtId="0" fontId="6" fillId="0" borderId="4" xfId="0" applyFont="1" applyBorder="1" applyAlignment="1">
      <alignment horizontal="center" vertical="center"/>
    </xf>
    <xf numFmtId="0" fontId="6" fillId="0" borderId="4" xfId="38" applyFont="1" applyBorder="1" applyAlignment="1">
      <alignment horizontal="center" vertical="top"/>
    </xf>
    <xf numFmtId="0" fontId="6" fillId="0" borderId="0" xfId="38" applyFont="1" applyAlignment="1">
      <alignment horizontal="center" vertical="center"/>
    </xf>
    <xf numFmtId="0" fontId="7" fillId="4" borderId="4" xfId="26" applyFont="1" applyFill="1" applyBorder="1" applyAlignment="1">
      <alignment vertical="center" wrapText="1"/>
    </xf>
    <xf numFmtId="4" fontId="6" fillId="0" borderId="4" xfId="14" applyNumberFormat="1" applyFont="1" applyBorder="1" applyAlignment="1">
      <alignment horizontal="center"/>
    </xf>
    <xf numFmtId="4" fontId="6" fillId="0" borderId="4" xfId="65" applyNumberFormat="1" applyFont="1" applyBorder="1" applyAlignment="1">
      <alignment horizontal="center" vertical="center"/>
    </xf>
    <xf numFmtId="0" fontId="7" fillId="0" borderId="0" xfId="0" applyFont="1" applyAlignment="1">
      <alignment horizontal="center" vertical="center"/>
    </xf>
    <xf numFmtId="4" fontId="6" fillId="0" borderId="4" xfId="26" applyNumberFormat="1" applyFont="1" applyBorder="1" applyAlignment="1">
      <alignment horizontal="center" vertical="center"/>
    </xf>
    <xf numFmtId="4" fontId="6" fillId="5" borderId="4" xfId="0" applyNumberFormat="1" applyFont="1" applyFill="1" applyBorder="1" applyAlignment="1">
      <alignment horizontal="center" vertical="center" wrapText="1"/>
    </xf>
    <xf numFmtId="4" fontId="7" fillId="0" borderId="4" xfId="15" applyNumberFormat="1" applyFont="1" applyBorder="1" applyAlignment="1">
      <alignment horizontal="center" vertical="center"/>
    </xf>
    <xf numFmtId="0" fontId="6" fillId="0" borderId="4" xfId="26" applyFont="1" applyBorder="1" applyAlignment="1">
      <alignment horizontal="center" vertical="top"/>
    </xf>
    <xf numFmtId="0" fontId="7" fillId="0" borderId="4" xfId="38" applyFont="1" applyBorder="1" applyAlignment="1">
      <alignment vertical="top"/>
    </xf>
    <xf numFmtId="4" fontId="6" fillId="0" borderId="4" xfId="38" applyNumberFormat="1" applyFont="1" applyBorder="1" applyAlignment="1">
      <alignment horizontal="center" vertical="center" wrapText="1"/>
    </xf>
    <xf numFmtId="4" fontId="6" fillId="0" borderId="4" xfId="38" applyNumberFormat="1" applyFont="1" applyBorder="1" applyAlignment="1">
      <alignment horizontal="center" vertical="center"/>
    </xf>
    <xf numFmtId="4" fontId="6" fillId="0" borderId="4" xfId="14" applyNumberFormat="1" applyFont="1" applyBorder="1">
      <alignment vertical="center"/>
    </xf>
    <xf numFmtId="4" fontId="6" fillId="0" borderId="4" xfId="14" applyNumberFormat="1" applyFont="1" applyBorder="1" applyAlignment="1">
      <alignment horizontal="center" vertical="center"/>
    </xf>
    <xf numFmtId="0" fontId="29" fillId="0" borderId="0" xfId="66" applyAlignment="1">
      <alignment vertical="center"/>
    </xf>
    <xf numFmtId="0" fontId="7" fillId="0" borderId="0" xfId="14" applyFont="1" applyAlignment="1">
      <alignment horizontal="center" vertical="center"/>
    </xf>
    <xf numFmtId="4" fontId="6" fillId="0" borderId="0" xfId="14" applyNumberFormat="1" applyFont="1" applyAlignment="1">
      <alignment horizontal="center" vertical="center"/>
    </xf>
    <xf numFmtId="4" fontId="6" fillId="8" borderId="4" xfId="14" applyNumberFormat="1" applyFont="1" applyFill="1" applyBorder="1" applyAlignment="1">
      <alignment horizontal="center"/>
    </xf>
    <xf numFmtId="4" fontId="7" fillId="0" borderId="4" xfId="14" applyNumberFormat="1" applyFont="1" applyBorder="1" applyAlignment="1">
      <alignment horizontal="center" vertical="center"/>
    </xf>
    <xf numFmtId="0" fontId="7" fillId="4" borderId="4" xfId="26" applyFont="1" applyFill="1" applyBorder="1" applyAlignment="1">
      <alignment horizontal="center" vertical="center"/>
    </xf>
    <xf numFmtId="0" fontId="8" fillId="0" borderId="0" xfId="0" applyFont="1"/>
    <xf numFmtId="0" fontId="8" fillId="0" borderId="0" xfId="0" applyFont="1" applyAlignment="1">
      <alignment horizontal="center"/>
    </xf>
    <xf numFmtId="0" fontId="32" fillId="4" borderId="4" xfId="26" applyFont="1" applyFill="1" applyBorder="1" applyAlignment="1">
      <alignment horizontal="center" vertical="center" wrapText="1"/>
    </xf>
    <xf numFmtId="0" fontId="8" fillId="0" borderId="4" xfId="0" applyFont="1" applyBorder="1" applyAlignment="1">
      <alignment horizontal="center"/>
    </xf>
    <xf numFmtId="4" fontId="8" fillId="0" borderId="4" xfId="0" applyNumberFormat="1" applyFont="1" applyBorder="1" applyAlignment="1">
      <alignment horizontal="center"/>
    </xf>
    <xf numFmtId="0" fontId="31" fillId="0" borderId="4" xfId="0" applyFont="1" applyBorder="1"/>
    <xf numFmtId="4" fontId="31" fillId="0" borderId="4" xfId="0" applyNumberFormat="1" applyFont="1" applyBorder="1" applyAlignment="1">
      <alignment horizontal="center" vertical="center"/>
    </xf>
    <xf numFmtId="0" fontId="7" fillId="0" borderId="4" xfId="16" applyFont="1" applyBorder="1" applyAlignment="1">
      <alignment vertical="center" wrapText="1"/>
    </xf>
    <xf numFmtId="4" fontId="8" fillId="8" borderId="4" xfId="0" applyNumberFormat="1" applyFont="1" applyFill="1" applyBorder="1" applyAlignment="1">
      <alignment horizontal="center"/>
    </xf>
    <xf numFmtId="0" fontId="0" fillId="0" borderId="4" xfId="0" applyBorder="1"/>
    <xf numFmtId="10" fontId="8" fillId="0" borderId="4" xfId="64" applyNumberFormat="1" applyFont="1" applyBorder="1" applyAlignment="1">
      <alignment horizontal="center"/>
    </xf>
    <xf numFmtId="4" fontId="31" fillId="0" borderId="4" xfId="0" applyNumberFormat="1" applyFont="1" applyBorder="1" applyAlignment="1">
      <alignment horizontal="center"/>
    </xf>
    <xf numFmtId="2" fontId="8" fillId="8" borderId="4" xfId="0" applyNumberFormat="1" applyFont="1" applyFill="1" applyBorder="1" applyAlignment="1">
      <alignment horizontal="center"/>
    </xf>
    <xf numFmtId="0" fontId="8" fillId="0" borderId="0" xfId="0" applyFont="1" applyAlignment="1">
      <alignment horizontal="right"/>
    </xf>
    <xf numFmtId="2" fontId="8" fillId="0" borderId="4" xfId="0" applyNumberFormat="1" applyFont="1" applyBorder="1" applyAlignment="1">
      <alignment horizontal="center"/>
    </xf>
    <xf numFmtId="0" fontId="7" fillId="9" borderId="4" xfId="0" applyFont="1" applyFill="1" applyBorder="1" applyAlignment="1">
      <alignment horizontal="center" vertical="center" wrapText="1"/>
    </xf>
    <xf numFmtId="4" fontId="6" fillId="0" borderId="4" xfId="59" applyNumberFormat="1" applyFont="1" applyBorder="1" applyAlignment="1">
      <alignment horizontal="center" vertical="center"/>
    </xf>
    <xf numFmtId="4" fontId="7" fillId="0" borderId="4" xfId="59" applyNumberFormat="1" applyFont="1" applyBorder="1" applyAlignment="1">
      <alignment horizontal="center" vertical="center"/>
    </xf>
    <xf numFmtId="0" fontId="7" fillId="7" borderId="4" xfId="0" applyFont="1" applyFill="1" applyBorder="1" applyAlignment="1">
      <alignment horizontal="center" vertical="center"/>
    </xf>
    <xf numFmtId="0" fontId="33" fillId="0" borderId="0" xfId="38" applyFont="1"/>
    <xf numFmtId="0" fontId="8" fillId="0" borderId="0" xfId="38" applyFont="1"/>
    <xf numFmtId="0" fontId="7" fillId="7" borderId="4" xfId="38" applyFont="1" applyFill="1" applyBorder="1" applyAlignment="1">
      <alignment horizontal="center" vertical="center" wrapText="1"/>
    </xf>
    <xf numFmtId="0" fontId="7" fillId="9" borderId="4" xfId="38" applyFont="1" applyFill="1" applyBorder="1" applyAlignment="1">
      <alignment horizontal="center" vertical="center" wrapText="1"/>
    </xf>
    <xf numFmtId="0" fontId="7" fillId="7" borderId="5" xfId="38" applyFont="1" applyFill="1" applyBorder="1" applyAlignment="1">
      <alignment horizontal="center" vertical="center"/>
    </xf>
    <xf numFmtId="4" fontId="34" fillId="0" borderId="4" xfId="38" applyNumberFormat="1" applyFont="1" applyBorder="1" applyAlignment="1">
      <alignment horizontal="center"/>
    </xf>
    <xf numFmtId="4" fontId="35" fillId="0" borderId="4" xfId="38" applyNumberFormat="1" applyFont="1" applyBorder="1" applyAlignment="1">
      <alignment horizontal="center"/>
    </xf>
    <xf numFmtId="4" fontId="6" fillId="0" borderId="4" xfId="38" applyNumberFormat="1" applyFont="1" applyBorder="1" applyAlignment="1">
      <alignment horizontal="center"/>
    </xf>
    <xf numFmtId="4" fontId="34" fillId="0" borderId="4" xfId="38" applyNumberFormat="1" applyFont="1" applyBorder="1" applyAlignment="1">
      <alignment horizontal="center" vertical="center"/>
    </xf>
    <xf numFmtId="0" fontId="6" fillId="8" borderId="4" xfId="38" applyFont="1" applyFill="1" applyBorder="1" applyAlignment="1">
      <alignment vertical="center" wrapText="1"/>
    </xf>
    <xf numFmtId="4" fontId="34" fillId="0" borderId="4" xfId="108" applyNumberFormat="1" applyFont="1" applyFill="1" applyBorder="1" applyAlignment="1">
      <alignment horizontal="center" vertical="center"/>
    </xf>
    <xf numFmtId="4" fontId="8" fillId="0" borderId="4" xfId="38" applyNumberFormat="1" applyFont="1" applyBorder="1" applyAlignment="1">
      <alignment horizontal="center"/>
    </xf>
    <xf numFmtId="0" fontId="7" fillId="0" borderId="4" xfId="38" applyFont="1" applyBorder="1" applyAlignment="1">
      <alignment vertical="center" wrapText="1"/>
    </xf>
    <xf numFmtId="2" fontId="8" fillId="0" borderId="0" xfId="38" applyNumberFormat="1" applyFont="1"/>
    <xf numFmtId="0" fontId="7" fillId="7" borderId="4" xfId="38" applyFont="1" applyFill="1" applyBorder="1" applyAlignment="1">
      <alignment horizontal="center" vertical="center"/>
    </xf>
    <xf numFmtId="2" fontId="34" fillId="0" borderId="4" xfId="38" applyNumberFormat="1" applyFont="1" applyBorder="1" applyAlignment="1">
      <alignment horizontal="center"/>
    </xf>
    <xf numFmtId="168" fontId="34" fillId="0" borderId="4" xfId="38" applyNumberFormat="1" applyFont="1" applyBorder="1" applyAlignment="1">
      <alignment horizontal="center"/>
    </xf>
    <xf numFmtId="4" fontId="6" fillId="5" borderId="4" xfId="38" applyNumberFormat="1" applyFont="1" applyFill="1" applyBorder="1" applyAlignment="1">
      <alignment horizontal="center" vertical="center"/>
    </xf>
    <xf numFmtId="10" fontId="8" fillId="0" borderId="4" xfId="28" applyNumberFormat="1" applyFont="1" applyBorder="1" applyAlignment="1">
      <alignment horizontal="center"/>
    </xf>
    <xf numFmtId="10" fontId="8" fillId="0" borderId="0" xfId="38" applyNumberFormat="1" applyFont="1"/>
    <xf numFmtId="4" fontId="31" fillId="0" borderId="4" xfId="38" applyNumberFormat="1" applyFont="1" applyBorder="1" applyAlignment="1">
      <alignment horizontal="center"/>
    </xf>
    <xf numFmtId="10" fontId="31" fillId="0" borderId="4" xfId="28" applyNumberFormat="1" applyFont="1" applyBorder="1" applyAlignment="1">
      <alignment horizontal="center"/>
    </xf>
    <xf numFmtId="0" fontId="0" fillId="0" borderId="0" xfId="38" applyFont="1"/>
    <xf numFmtId="0" fontId="7" fillId="7" borderId="9" xfId="38" applyFont="1" applyFill="1" applyBorder="1" applyAlignment="1">
      <alignment horizontal="center" vertical="center"/>
    </xf>
    <xf numFmtId="0" fontId="7" fillId="7" borderId="8" xfId="38" applyFont="1" applyFill="1" applyBorder="1" applyAlignment="1">
      <alignment horizontal="center" vertical="center" wrapText="1"/>
    </xf>
    <xf numFmtId="10" fontId="6" fillId="0" borderId="4" xfId="38" applyNumberFormat="1" applyFont="1" applyBorder="1" applyAlignment="1">
      <alignment horizontal="center"/>
    </xf>
    <xf numFmtId="0" fontId="6" fillId="0" borderId="0" xfId="38" applyFont="1" applyAlignment="1">
      <alignment horizontal="center"/>
    </xf>
    <xf numFmtId="0" fontId="8" fillId="0" borderId="4" xfId="38" applyFont="1" applyBorder="1"/>
    <xf numFmtId="10" fontId="6" fillId="0" borderId="4" xfId="28" applyNumberFormat="1" applyFont="1" applyBorder="1" applyAlignment="1">
      <alignment horizontal="center"/>
    </xf>
    <xf numFmtId="0" fontId="7" fillId="0" borderId="6" xfId="38" applyFont="1" applyBorder="1" applyAlignment="1">
      <alignment vertical="center" wrapText="1"/>
    </xf>
    <xf numFmtId="10" fontId="31" fillId="0" borderId="0" xfId="38" applyNumberFormat="1" applyFont="1"/>
    <xf numFmtId="4" fontId="8" fillId="0" borderId="0" xfId="38" applyNumberFormat="1" applyFont="1"/>
    <xf numFmtId="171" fontId="6" fillId="0" borderId="4" xfId="28" applyNumberFormat="1" applyFont="1" applyBorder="1" applyAlignment="1">
      <alignment horizontal="center"/>
    </xf>
    <xf numFmtId="4" fontId="7" fillId="0" borderId="4" xfId="38" applyNumberFormat="1" applyFont="1" applyBorder="1" applyAlignment="1">
      <alignment horizontal="center" vertical="center"/>
    </xf>
    <xf numFmtId="4" fontId="6" fillId="0" borderId="4" xfId="38" applyNumberFormat="1" applyFont="1" applyBorder="1"/>
    <xf numFmtId="0" fontId="7" fillId="4" borderId="4" xfId="26" applyFont="1" applyFill="1" applyBorder="1" applyAlignment="1">
      <alignment horizontal="center" vertical="top" wrapText="1"/>
    </xf>
    <xf numFmtId="0" fontId="6" fillId="0" borderId="4" xfId="0" applyFont="1" applyBorder="1" applyAlignment="1">
      <alignment horizontal="center"/>
    </xf>
    <xf numFmtId="10" fontId="6" fillId="0" borderId="4" xfId="64" applyNumberFormat="1" applyFont="1" applyBorder="1" applyAlignment="1">
      <alignment horizontal="center"/>
    </xf>
    <xf numFmtId="4" fontId="6" fillId="0" borderId="4" xfId="0" applyNumberFormat="1" applyFont="1" applyBorder="1" applyAlignment="1">
      <alignment horizontal="center"/>
    </xf>
    <xf numFmtId="10" fontId="6" fillId="0" borderId="4" xfId="0" applyNumberFormat="1" applyFont="1" applyBorder="1" applyAlignment="1">
      <alignment horizontal="center"/>
    </xf>
    <xf numFmtId="0" fontId="20" fillId="0" borderId="4" xfId="38" applyFont="1" applyBorder="1" applyAlignment="1">
      <alignment horizontal="center" vertical="center" wrapText="1"/>
    </xf>
    <xf numFmtId="0" fontId="6" fillId="0" borderId="4" xfId="0" applyFont="1" applyBorder="1" applyAlignment="1">
      <alignment vertical="center"/>
    </xf>
    <xf numFmtId="0" fontId="7" fillId="0" borderId="4" xfId="0" applyFont="1" applyBorder="1" applyAlignment="1">
      <alignment vertical="top"/>
    </xf>
    <xf numFmtId="170" fontId="8" fillId="0" borderId="4" xfId="64" applyNumberFormat="1" applyFont="1" applyBorder="1" applyAlignment="1">
      <alignment horizontal="center"/>
    </xf>
    <xf numFmtId="170" fontId="8" fillId="0" borderId="4" xfId="64" applyNumberFormat="1" applyFont="1" applyFill="1" applyBorder="1" applyAlignment="1">
      <alignment horizontal="center"/>
    </xf>
    <xf numFmtId="170" fontId="8" fillId="10" borderId="4" xfId="64" applyNumberFormat="1" applyFont="1" applyFill="1" applyBorder="1" applyAlignment="1">
      <alignment horizontal="center"/>
    </xf>
    <xf numFmtId="10" fontId="8" fillId="10" borderId="4" xfId="64" applyNumberFormat="1" applyFont="1" applyFill="1" applyBorder="1" applyAlignment="1">
      <alignment horizontal="center"/>
    </xf>
    <xf numFmtId="1" fontId="8" fillId="8" borderId="4" xfId="0" applyNumberFormat="1" applyFont="1" applyFill="1" applyBorder="1" applyAlignment="1">
      <alignment horizontal="center"/>
    </xf>
    <xf numFmtId="9" fontId="31" fillId="0" borderId="4" xfId="64" applyFont="1" applyBorder="1" applyAlignment="1">
      <alignment horizontal="center"/>
    </xf>
    <xf numFmtId="4" fontId="7" fillId="0" borderId="4" xfId="26" applyNumberFormat="1" applyFont="1" applyBorder="1" applyAlignment="1">
      <alignment horizontal="center" vertical="center"/>
    </xf>
    <xf numFmtId="4" fontId="6" fillId="6" borderId="4" xfId="0" applyNumberFormat="1" applyFont="1" applyFill="1" applyBorder="1" applyAlignment="1">
      <alignment horizontal="center" vertical="center"/>
    </xf>
    <xf numFmtId="4" fontId="7" fillId="0" borderId="4" xfId="0" applyNumberFormat="1" applyFont="1" applyBorder="1" applyAlignment="1">
      <alignment horizontal="center" vertical="center"/>
    </xf>
    <xf numFmtId="4" fontId="6" fillId="0" borderId="4" xfId="0" applyNumberFormat="1" applyFont="1" applyBorder="1"/>
    <xf numFmtId="10" fontId="6" fillId="0" borderId="4" xfId="64" applyNumberFormat="1" applyFont="1" applyBorder="1" applyAlignment="1">
      <alignment horizontal="center" vertical="center" wrapText="1"/>
    </xf>
    <xf numFmtId="10" fontId="7" fillId="0" borderId="4" xfId="64" applyNumberFormat="1" applyFont="1" applyBorder="1" applyAlignment="1">
      <alignment horizontal="center" vertical="center"/>
    </xf>
    <xf numFmtId="10" fontId="6" fillId="0" borderId="4" xfId="64" applyNumberFormat="1" applyFont="1" applyBorder="1" applyAlignment="1">
      <alignment horizontal="center" vertical="center"/>
    </xf>
    <xf numFmtId="4" fontId="6" fillId="0" borderId="4" xfId="10" applyNumberFormat="1" applyFont="1" applyBorder="1" applyAlignment="1">
      <alignment horizontal="center" vertical="center"/>
    </xf>
    <xf numFmtId="4" fontId="7" fillId="0" borderId="4" xfId="10" applyNumberFormat="1" applyFont="1" applyBorder="1" applyAlignment="1">
      <alignment horizontal="center" vertical="center"/>
    </xf>
    <xf numFmtId="4" fontId="6" fillId="0" borderId="0" xfId="0" applyNumberFormat="1" applyFont="1"/>
    <xf numFmtId="4" fontId="7" fillId="0" borderId="0" xfId="0" applyNumberFormat="1" applyFont="1" applyAlignment="1">
      <alignment horizontal="center"/>
    </xf>
    <xf numFmtId="4" fontId="7" fillId="0" borderId="0" xfId="0" applyNumberFormat="1" applyFont="1"/>
    <xf numFmtId="4" fontId="7" fillId="0" borderId="0" xfId="0" applyNumberFormat="1" applyFont="1" applyAlignment="1">
      <alignment horizontal="right"/>
    </xf>
    <xf numFmtId="4" fontId="7" fillId="7" borderId="5" xfId="0" applyNumberFormat="1" applyFont="1" applyFill="1" applyBorder="1" applyAlignment="1">
      <alignment horizontal="center" vertical="center"/>
    </xf>
    <xf numFmtId="4" fontId="6" fillId="0" borderId="0" xfId="0" applyNumberFormat="1" applyFont="1" applyAlignment="1">
      <alignment vertical="top"/>
    </xf>
    <xf numFmtId="4" fontId="7" fillId="6" borderId="4" xfId="0" applyNumberFormat="1" applyFont="1" applyFill="1" applyBorder="1" applyAlignment="1">
      <alignment horizontal="center" vertical="center"/>
    </xf>
    <xf numFmtId="4" fontId="6" fillId="0" borderId="0" xfId="0" applyNumberFormat="1" applyFont="1" applyAlignment="1">
      <alignment horizontal="center" vertical="center"/>
    </xf>
    <xf numFmtId="4" fontId="7" fillId="4" borderId="9" xfId="26" applyNumberFormat="1" applyFont="1" applyFill="1" applyBorder="1" applyAlignment="1">
      <alignment horizontal="center" vertical="center" wrapText="1"/>
    </xf>
    <xf numFmtId="4" fontId="7" fillId="4" borderId="4" xfId="26" applyNumberFormat="1" applyFont="1" applyFill="1" applyBorder="1" applyAlignment="1">
      <alignment horizontal="center" vertical="center" wrapText="1"/>
    </xf>
    <xf numFmtId="10" fontId="7" fillId="0" borderId="0" xfId="64" applyNumberFormat="1" applyFont="1" applyBorder="1" applyAlignment="1">
      <alignment horizontal="center"/>
    </xf>
    <xf numFmtId="4" fontId="6" fillId="0" borderId="0" xfId="0" applyNumberFormat="1" applyFont="1" applyAlignment="1">
      <alignment horizontal="center"/>
    </xf>
    <xf numFmtId="10" fontId="6" fillId="0" borderId="0" xfId="64" applyNumberFormat="1" applyFont="1" applyBorder="1" applyAlignment="1">
      <alignment horizontal="center"/>
    </xf>
    <xf numFmtId="3" fontId="6" fillId="0" borderId="4" xfId="0" applyNumberFormat="1" applyFont="1" applyBorder="1" applyAlignment="1">
      <alignment horizontal="center"/>
    </xf>
    <xf numFmtId="10" fontId="8" fillId="0" borderId="4" xfId="64" applyNumberFormat="1" applyFont="1" applyFill="1" applyBorder="1" applyAlignment="1">
      <alignment horizontal="center"/>
    </xf>
    <xf numFmtId="4" fontId="6" fillId="8" borderId="4" xfId="59" applyNumberFormat="1" applyFont="1" applyFill="1" applyBorder="1" applyAlignment="1">
      <alignment horizontal="center" vertical="center"/>
    </xf>
    <xf numFmtId="4" fontId="0" fillId="0" borderId="0" xfId="0" applyNumberFormat="1"/>
    <xf numFmtId="10" fontId="31" fillId="0" borderId="4" xfId="64" applyNumberFormat="1" applyFont="1" applyBorder="1" applyAlignment="1">
      <alignment horizontal="center"/>
    </xf>
    <xf numFmtId="0" fontId="38" fillId="11" borderId="4" xfId="109" applyFont="1" applyFill="1" applyBorder="1" applyAlignment="1">
      <alignment horizontal="center"/>
    </xf>
    <xf numFmtId="0" fontId="2" fillId="0" borderId="0" xfId="109"/>
    <xf numFmtId="0" fontId="38" fillId="11" borderId="4" xfId="109" applyFont="1" applyFill="1" applyBorder="1"/>
    <xf numFmtId="0" fontId="2" fillId="0" borderId="4" xfId="109" applyBorder="1"/>
    <xf numFmtId="2" fontId="2" fillId="0" borderId="4" xfId="109" applyNumberFormat="1" applyBorder="1"/>
    <xf numFmtId="0" fontId="2" fillId="0" borderId="0" xfId="109" applyAlignment="1">
      <alignment horizontal="left"/>
    </xf>
    <xf numFmtId="2" fontId="2" fillId="0" borderId="0" xfId="109" applyNumberFormat="1"/>
    <xf numFmtId="0" fontId="39" fillId="0" borderId="0" xfId="38" applyFont="1"/>
    <xf numFmtId="0" fontId="40" fillId="0" borderId="0" xfId="38" applyFont="1"/>
    <xf numFmtId="0" fontId="2" fillId="12" borderId="0" xfId="109" applyFill="1"/>
    <xf numFmtId="9" fontId="0" fillId="12" borderId="0" xfId="110" applyFont="1" applyFill="1"/>
    <xf numFmtId="0" fontId="6" fillId="0" borderId="0" xfId="0" applyFont="1" applyAlignment="1">
      <alignment horizontal="center" vertical="center" wrapText="1"/>
    </xf>
    <xf numFmtId="0" fontId="6" fillId="0" borderId="0" xfId="0" applyFont="1" applyAlignment="1">
      <alignment vertical="center" wrapText="1"/>
    </xf>
    <xf numFmtId="4" fontId="7" fillId="0" borderId="0" xfId="0" applyNumberFormat="1" applyFont="1" applyAlignment="1">
      <alignment horizontal="center" vertical="center"/>
    </xf>
    <xf numFmtId="0" fontId="24" fillId="0" borderId="0" xfId="0" applyFont="1" applyAlignment="1">
      <alignment horizontal="left" vertical="center"/>
    </xf>
    <xf numFmtId="0" fontId="24" fillId="0" borderId="0" xfId="0" applyFont="1" applyAlignment="1">
      <alignment horizontal="left"/>
    </xf>
    <xf numFmtId="0" fontId="41" fillId="0" borderId="0" xfId="109" applyFont="1"/>
    <xf numFmtId="0" fontId="37" fillId="13" borderId="4" xfId="109" applyFont="1" applyFill="1" applyBorder="1"/>
    <xf numFmtId="0" fontId="2" fillId="0" borderId="4" xfId="109" applyBorder="1" applyAlignment="1">
      <alignment horizontal="left"/>
    </xf>
    <xf numFmtId="2" fontId="2" fillId="12" borderId="4" xfId="109" applyNumberFormat="1" applyFill="1" applyBorder="1"/>
    <xf numFmtId="4" fontId="6" fillId="0" borderId="0" xfId="38" applyNumberFormat="1" applyFont="1"/>
    <xf numFmtId="172" fontId="6" fillId="0" borderId="0" xfId="38" applyNumberFormat="1" applyFont="1"/>
    <xf numFmtId="0" fontId="24" fillId="0" borderId="0" xfId="10" applyFont="1" applyAlignment="1">
      <alignment horizontal="left" vertical="center"/>
    </xf>
    <xf numFmtId="2" fontId="2" fillId="0" borderId="4" xfId="109" applyNumberFormat="1" applyBorder="1" applyAlignment="1">
      <alignment horizontal="center"/>
    </xf>
    <xf numFmtId="4" fontId="6" fillId="14" borderId="4" xfId="59" applyNumberFormat="1" applyFont="1" applyFill="1" applyBorder="1" applyAlignment="1">
      <alignment horizontal="center" vertical="center"/>
    </xf>
    <xf numFmtId="4" fontId="6" fillId="0" borderId="0" xfId="38" applyNumberFormat="1" applyFont="1" applyAlignment="1">
      <alignment horizontal="center" vertical="center"/>
    </xf>
    <xf numFmtId="4" fontId="6" fillId="0" borderId="0" xfId="59" applyNumberFormat="1" applyFont="1" applyAlignment="1">
      <alignment horizontal="center" vertical="center"/>
    </xf>
    <xf numFmtId="4" fontId="31" fillId="0" borderId="0" xfId="38" applyNumberFormat="1" applyFont="1" applyAlignment="1">
      <alignment horizontal="center"/>
    </xf>
    <xf numFmtId="10" fontId="7" fillId="0" borderId="4" xfId="38" applyNumberFormat="1" applyFont="1" applyBorder="1" applyAlignment="1">
      <alignment horizontal="center" vertical="center"/>
    </xf>
    <xf numFmtId="17" fontId="6" fillId="0" borderId="4" xfId="0" applyNumberFormat="1" applyFont="1" applyBorder="1" applyAlignment="1">
      <alignment horizontal="center"/>
    </xf>
    <xf numFmtId="10" fontId="0" fillId="0" borderId="0" xfId="64" applyNumberFormat="1" applyFont="1"/>
    <xf numFmtId="17" fontId="6" fillId="14" borderId="4" xfId="0" applyNumberFormat="1" applyFont="1" applyFill="1" applyBorder="1" applyAlignment="1">
      <alignment horizontal="center"/>
    </xf>
    <xf numFmtId="10" fontId="6" fillId="0" borderId="0" xfId="64" applyNumberFormat="1" applyFont="1"/>
    <xf numFmtId="0" fontId="7" fillId="0" borderId="4" xfId="14" applyFont="1" applyBorder="1" applyAlignment="1">
      <alignment horizontal="center" vertical="center"/>
    </xf>
    <xf numFmtId="2" fontId="0" fillId="0" borderId="0" xfId="0" applyNumberFormat="1"/>
    <xf numFmtId="0" fontId="36" fillId="0" borderId="0" xfId="0" applyFont="1" applyAlignment="1">
      <alignment horizontal="centerContinuous"/>
    </xf>
    <xf numFmtId="0" fontId="36" fillId="0" borderId="0" xfId="0" applyFont="1" applyAlignment="1">
      <alignment horizontal="center"/>
    </xf>
    <xf numFmtId="0" fontId="33" fillId="0" borderId="0" xfId="0" applyFont="1" applyAlignment="1">
      <alignment horizontal="right"/>
    </xf>
    <xf numFmtId="4" fontId="7" fillId="0" borderId="4" xfId="38" applyNumberFormat="1" applyFont="1" applyBorder="1"/>
    <xf numFmtId="10" fontId="0" fillId="0" borderId="0" xfId="0" applyNumberFormat="1"/>
    <xf numFmtId="4" fontId="31" fillId="8" borderId="4" xfId="0" applyNumberFormat="1" applyFont="1" applyFill="1" applyBorder="1" applyAlignment="1">
      <alignment horizontal="center"/>
    </xf>
    <xf numFmtId="9" fontId="0" fillId="0" borderId="0" xfId="64" applyFont="1"/>
    <xf numFmtId="171" fontId="6" fillId="0" borderId="0" xfId="64" applyNumberFormat="1" applyFont="1" applyAlignment="1">
      <alignment vertical="center"/>
    </xf>
    <xf numFmtId="10" fontId="6" fillId="0" borderId="0" xfId="64" applyNumberFormat="1" applyFont="1" applyAlignment="1">
      <alignment vertical="center"/>
    </xf>
    <xf numFmtId="0" fontId="7" fillId="4" borderId="9" xfId="26" applyFont="1" applyFill="1" applyBorder="1" applyAlignment="1">
      <alignment horizontal="center" vertical="center" wrapText="1"/>
    </xf>
    <xf numFmtId="4" fontId="8" fillId="0" borderId="9" xfId="0" applyNumberFormat="1" applyFont="1" applyBorder="1" applyAlignment="1">
      <alignment horizontal="center"/>
    </xf>
    <xf numFmtId="4" fontId="31" fillId="0" borderId="9" xfId="0" applyNumberFormat="1" applyFont="1" applyBorder="1" applyAlignment="1">
      <alignment horizontal="center"/>
    </xf>
    <xf numFmtId="4" fontId="0" fillId="0" borderId="4" xfId="0" applyNumberFormat="1" applyBorder="1"/>
    <xf numFmtId="0" fontId="42" fillId="0" borderId="0" xfId="0" applyFont="1" applyAlignment="1">
      <alignment horizontal="center"/>
    </xf>
    <xf numFmtId="3" fontId="43" fillId="0" borderId="0" xfId="0" applyNumberFormat="1" applyFont="1" applyAlignment="1">
      <alignment horizontal="center"/>
    </xf>
    <xf numFmtId="0" fontId="43" fillId="0" borderId="0" xfId="0" applyFont="1" applyAlignment="1">
      <alignment horizontal="center"/>
    </xf>
    <xf numFmtId="0" fontId="9" fillId="0" borderId="0" xfId="0" applyFont="1" applyAlignment="1">
      <alignment horizontal="center" vertical="top"/>
    </xf>
    <xf numFmtId="0" fontId="8" fillId="0" borderId="0" xfId="0" applyFont="1" applyAlignment="1">
      <alignment horizontal="left"/>
    </xf>
    <xf numFmtId="4" fontId="44" fillId="0" borderId="4" xfId="0" applyNumberFormat="1" applyFont="1" applyBorder="1" applyAlignment="1">
      <alignment horizontal="center"/>
    </xf>
    <xf numFmtId="0" fontId="7" fillId="0" borderId="0" xfId="38" applyFont="1" applyAlignment="1">
      <alignment horizontal="center" vertical="top"/>
    </xf>
    <xf numFmtId="0" fontId="7" fillId="0" borderId="0" xfId="38" applyFont="1" applyAlignment="1">
      <alignment horizontal="center" vertical="top" wrapText="1"/>
    </xf>
    <xf numFmtId="0" fontId="7" fillId="0" borderId="0" xfId="38" applyFont="1" applyAlignment="1">
      <alignment vertical="top"/>
    </xf>
    <xf numFmtId="0" fontId="6" fillId="0" borderId="0" xfId="38" applyFont="1" applyAlignment="1">
      <alignment vertical="top"/>
    </xf>
    <xf numFmtId="0" fontId="7" fillId="4" borderId="17" xfId="26" applyFont="1" applyFill="1" applyBorder="1" applyAlignment="1">
      <alignment horizontal="center" vertical="top" wrapText="1"/>
    </xf>
    <xf numFmtId="0" fontId="7" fillId="4" borderId="19" xfId="26" applyFont="1" applyFill="1" applyBorder="1" applyAlignment="1">
      <alignment horizontal="center" vertical="top" wrapText="1"/>
    </xf>
    <xf numFmtId="0" fontId="7" fillId="4" borderId="20" xfId="26" applyFont="1" applyFill="1" applyBorder="1" applyAlignment="1">
      <alignment horizontal="center" vertical="top" wrapText="1"/>
    </xf>
    <xf numFmtId="0" fontId="7" fillId="4" borderId="21" xfId="26" applyFont="1" applyFill="1" applyBorder="1" applyAlignment="1">
      <alignment horizontal="center" vertical="top" wrapText="1"/>
    </xf>
    <xf numFmtId="0" fontId="6" fillId="0" borderId="0" xfId="26" applyFont="1" applyAlignment="1">
      <alignment vertical="top"/>
    </xf>
    <xf numFmtId="0" fontId="6" fillId="0" borderId="22" xfId="38" applyFont="1" applyBorder="1" applyAlignment="1">
      <alignment horizontal="center" vertical="top"/>
    </xf>
    <xf numFmtId="0" fontId="6" fillId="0" borderId="6" xfId="0" applyFont="1" applyBorder="1" applyAlignment="1">
      <alignment vertical="top" wrapText="1"/>
    </xf>
    <xf numFmtId="164" fontId="11" fillId="5" borderId="6" xfId="108" applyFont="1" applyFill="1" applyBorder="1" applyAlignment="1">
      <alignment horizontal="center" vertical="top" wrapText="1"/>
    </xf>
    <xf numFmtId="164" fontId="11" fillId="0" borderId="6" xfId="108" applyFont="1" applyBorder="1" applyAlignment="1">
      <alignment vertical="top"/>
    </xf>
    <xf numFmtId="164" fontId="6" fillId="0" borderId="6" xfId="108" applyFont="1" applyBorder="1" applyAlignment="1">
      <alignment vertical="top"/>
    </xf>
    <xf numFmtId="164" fontId="11" fillId="0" borderId="23" xfId="108" applyFont="1" applyBorder="1" applyAlignment="1">
      <alignment horizontal="center" vertical="top"/>
    </xf>
    <xf numFmtId="0" fontId="6" fillId="0" borderId="16" xfId="38" applyFont="1" applyBorder="1" applyAlignment="1">
      <alignment horizontal="center" vertical="top"/>
    </xf>
    <xf numFmtId="164" fontId="11" fillId="5" borderId="4" xfId="108" applyFont="1" applyFill="1" applyBorder="1" applyAlignment="1">
      <alignment horizontal="center" vertical="top" wrapText="1"/>
    </xf>
    <xf numFmtId="164" fontId="11" fillId="0" borderId="4" xfId="108" applyFont="1" applyBorder="1" applyAlignment="1">
      <alignment vertical="top"/>
    </xf>
    <xf numFmtId="164" fontId="6" fillId="0" borderId="4" xfId="108" applyFont="1" applyBorder="1" applyAlignment="1">
      <alignment vertical="top"/>
    </xf>
    <xf numFmtId="164" fontId="11" fillId="0" borderId="17" xfId="108" applyFont="1" applyBorder="1" applyAlignment="1">
      <alignment horizontal="center" vertical="top"/>
    </xf>
    <xf numFmtId="173" fontId="6" fillId="0" borderId="4" xfId="108" applyNumberFormat="1" applyFont="1" applyBorder="1" applyAlignment="1">
      <alignment vertical="top"/>
    </xf>
    <xf numFmtId="164" fontId="11" fillId="5" borderId="4" xfId="108" applyFont="1" applyFill="1" applyBorder="1" applyAlignment="1" applyProtection="1">
      <alignment horizontal="center" vertical="top"/>
    </xf>
    <xf numFmtId="0" fontId="6" fillId="0" borderId="18" xfId="38" applyFont="1" applyBorder="1" applyAlignment="1">
      <alignment vertical="top"/>
    </xf>
    <xf numFmtId="0" fontId="7" fillId="0" borderId="19" xfId="38" applyFont="1" applyBorder="1" applyAlignment="1">
      <alignment vertical="top"/>
    </xf>
    <xf numFmtId="164" fontId="9" fillId="0" borderId="19" xfId="108" applyFont="1" applyBorder="1" applyAlignment="1">
      <alignment horizontal="center" vertical="top"/>
    </xf>
    <xf numFmtId="164" fontId="9" fillId="0" borderId="21" xfId="108" applyFont="1" applyBorder="1" applyAlignment="1">
      <alignment horizontal="center" vertical="top"/>
    </xf>
    <xf numFmtId="0" fontId="11" fillId="0" borderId="0" xfId="0" applyFont="1" applyAlignment="1">
      <alignment vertical="top"/>
    </xf>
    <xf numFmtId="0" fontId="6" fillId="0" borderId="0" xfId="26" applyFont="1" applyAlignment="1">
      <alignment vertical="top" wrapText="1"/>
    </xf>
    <xf numFmtId="0" fontId="6" fillId="0" borderId="0" xfId="26" applyFont="1" applyAlignment="1">
      <alignment horizontal="center" vertical="top"/>
    </xf>
    <xf numFmtId="0" fontId="6" fillId="0" borderId="6" xfId="26" applyFont="1" applyBorder="1" applyAlignment="1">
      <alignment vertical="top"/>
    </xf>
    <xf numFmtId="0" fontId="6" fillId="0" borderId="4" xfId="26" applyFont="1" applyBorder="1" applyAlignment="1">
      <alignment vertical="top"/>
    </xf>
    <xf numFmtId="164" fontId="11" fillId="5" borderId="23" xfId="108" applyFont="1" applyFill="1" applyBorder="1" applyAlignment="1">
      <alignment horizontal="center" vertical="top" wrapText="1"/>
    </xf>
    <xf numFmtId="164" fontId="11" fillId="5" borderId="17" xfId="108" applyFont="1" applyFill="1" applyBorder="1" applyAlignment="1">
      <alignment horizontal="center" vertical="top" wrapText="1"/>
    </xf>
    <xf numFmtId="0" fontId="6" fillId="0" borderId="16" xfId="26" applyFont="1" applyBorder="1" applyAlignment="1">
      <alignment horizontal="center" vertical="top"/>
    </xf>
    <xf numFmtId="164" fontId="11" fillId="5" borderId="5" xfId="108" applyFont="1" applyFill="1" applyBorder="1" applyAlignment="1">
      <alignment horizontal="center" vertical="top" wrapText="1"/>
    </xf>
    <xf numFmtId="0" fontId="6" fillId="0" borderId="28" xfId="38" applyFont="1" applyBorder="1" applyAlignment="1">
      <alignment horizontal="center" vertical="top"/>
    </xf>
    <xf numFmtId="0" fontId="6" fillId="0" borderId="5" xfId="38" applyFont="1" applyBorder="1" applyAlignment="1">
      <alignment vertical="top"/>
    </xf>
    <xf numFmtId="0" fontId="7" fillId="0" borderId="0" xfId="38" applyFont="1" applyAlignment="1">
      <alignment horizontal="left" vertical="top"/>
    </xf>
    <xf numFmtId="0" fontId="7" fillId="0" borderId="0" xfId="26" applyFont="1" applyAlignment="1">
      <alignment horizontal="right" vertical="top"/>
    </xf>
    <xf numFmtId="164" fontId="11" fillId="0" borderId="6" xfId="108" applyFont="1" applyFill="1" applyBorder="1" applyAlignment="1">
      <alignment horizontal="center" vertical="top" wrapText="1"/>
    </xf>
    <xf numFmtId="10" fontId="11" fillId="0" borderId="6" xfId="28" applyNumberFormat="1" applyFont="1" applyFill="1" applyBorder="1" applyAlignment="1">
      <alignment horizontal="right" vertical="top" wrapText="1"/>
    </xf>
    <xf numFmtId="164" fontId="11" fillId="0" borderId="23" xfId="108" applyFont="1" applyBorder="1" applyAlignment="1">
      <alignment vertical="top"/>
    </xf>
    <xf numFmtId="164" fontId="11" fillId="0" borderId="4" xfId="108" applyFont="1" applyFill="1" applyBorder="1" applyAlignment="1">
      <alignment horizontal="center" vertical="top" wrapText="1"/>
    </xf>
    <xf numFmtId="10" fontId="11" fillId="0" borderId="4" xfId="28" applyNumberFormat="1" applyFont="1" applyFill="1" applyBorder="1" applyAlignment="1">
      <alignment horizontal="right" vertical="top" wrapText="1"/>
    </xf>
    <xf numFmtId="164" fontId="11" fillId="0" borderId="17" xfId="108" applyFont="1" applyBorder="1" applyAlignment="1">
      <alignment vertical="top"/>
    </xf>
    <xf numFmtId="164" fontId="11" fillId="0" borderId="4" xfId="108" applyFont="1" applyFill="1" applyBorder="1" applyAlignment="1" applyProtection="1">
      <alignment horizontal="left" vertical="top"/>
    </xf>
    <xf numFmtId="10" fontId="11" fillId="0" borderId="4" xfId="28" applyNumberFormat="1" applyFont="1" applyFill="1" applyBorder="1" applyAlignment="1" applyProtection="1">
      <alignment horizontal="right" vertical="top"/>
    </xf>
    <xf numFmtId="164" fontId="11" fillId="0" borderId="4" xfId="108" applyFont="1" applyFill="1" applyBorder="1" applyAlignment="1" applyProtection="1">
      <alignment horizontal="center" vertical="top"/>
    </xf>
    <xf numFmtId="164" fontId="11" fillId="0" borderId="17" xfId="108" applyFont="1" applyFill="1" applyBorder="1" applyAlignment="1">
      <alignment vertical="top"/>
    </xf>
    <xf numFmtId="10" fontId="11" fillId="0" borderId="4" xfId="28" applyNumberFormat="1" applyFont="1" applyBorder="1" applyAlignment="1">
      <alignment horizontal="right" vertical="top"/>
    </xf>
    <xf numFmtId="164" fontId="11" fillId="0" borderId="4" xfId="108" applyFont="1" applyBorder="1" applyAlignment="1">
      <alignment horizontal="center" vertical="top"/>
    </xf>
    <xf numFmtId="164" fontId="9" fillId="0" borderId="17" xfId="108" applyFont="1" applyBorder="1" applyAlignment="1">
      <alignment vertical="top"/>
    </xf>
    <xf numFmtId="164" fontId="9" fillId="0" borderId="4" xfId="108" applyFont="1" applyFill="1" applyBorder="1" applyAlignment="1" applyProtection="1">
      <alignment horizontal="left" vertical="top"/>
    </xf>
    <xf numFmtId="0" fontId="7" fillId="0" borderId="19" xfId="38" applyFont="1" applyBorder="1" applyAlignment="1">
      <alignment vertical="top" wrapText="1"/>
    </xf>
    <xf numFmtId="10" fontId="9" fillId="0" borderId="19" xfId="28" applyNumberFormat="1" applyFont="1" applyBorder="1" applyAlignment="1">
      <alignment horizontal="right" vertical="top"/>
    </xf>
    <xf numFmtId="164" fontId="11" fillId="0" borderId="21" xfId="108" applyFont="1" applyBorder="1" applyAlignment="1">
      <alignment horizontal="center" vertical="top"/>
    </xf>
    <xf numFmtId="174" fontId="11" fillId="0" borderId="6" xfId="108" applyNumberFormat="1" applyFont="1" applyFill="1" applyBorder="1" applyAlignment="1">
      <alignment horizontal="center" vertical="top" wrapText="1"/>
    </xf>
    <xf numFmtId="170" fontId="11" fillId="0" borderId="6" xfId="28" applyNumberFormat="1" applyFont="1" applyFill="1" applyBorder="1" applyAlignment="1">
      <alignment horizontal="right" vertical="top" wrapText="1"/>
    </xf>
    <xf numFmtId="164" fontId="11" fillId="0" borderId="0" xfId="108" applyFont="1" applyBorder="1" applyAlignment="1">
      <alignment vertical="top"/>
    </xf>
    <xf numFmtId="174" fontId="11" fillId="0" borderId="4" xfId="108" applyNumberFormat="1" applyFont="1" applyFill="1" applyBorder="1" applyAlignment="1">
      <alignment horizontal="center" vertical="top" wrapText="1"/>
    </xf>
    <xf numFmtId="170" fontId="11" fillId="0" borderId="4" xfId="28" applyNumberFormat="1" applyFont="1" applyFill="1" applyBorder="1" applyAlignment="1">
      <alignment horizontal="right" vertical="top" wrapText="1"/>
    </xf>
    <xf numFmtId="174" fontId="11" fillId="0" borderId="4" xfId="108" applyNumberFormat="1" applyFont="1" applyFill="1" applyBorder="1" applyAlignment="1" applyProtection="1">
      <alignment horizontal="left" vertical="top"/>
    </xf>
    <xf numFmtId="170" fontId="11" fillId="0" borderId="4" xfId="28" applyNumberFormat="1" applyFont="1" applyFill="1" applyBorder="1" applyAlignment="1" applyProtection="1">
      <alignment horizontal="right" vertical="top"/>
    </xf>
    <xf numFmtId="174" fontId="11" fillId="0" borderId="4" xfId="108" applyNumberFormat="1" applyFont="1" applyBorder="1" applyAlignment="1">
      <alignment vertical="top"/>
    </xf>
    <xf numFmtId="170" fontId="11" fillId="0" borderId="4" xfId="28" applyNumberFormat="1" applyFont="1" applyBorder="1" applyAlignment="1">
      <alignment horizontal="right" vertical="top"/>
    </xf>
    <xf numFmtId="174" fontId="11" fillId="0" borderId="4" xfId="108" applyNumberFormat="1" applyFont="1" applyFill="1" applyBorder="1" applyAlignment="1">
      <alignment vertical="top"/>
    </xf>
    <xf numFmtId="170" fontId="11" fillId="0" borderId="4" xfId="28" applyNumberFormat="1" applyFont="1" applyFill="1" applyBorder="1" applyAlignment="1">
      <alignment horizontal="right" vertical="top"/>
    </xf>
    <xf numFmtId="164" fontId="11" fillId="0" borderId="4" xfId="108" applyFont="1" applyFill="1" applyBorder="1" applyAlignment="1">
      <alignment horizontal="center" vertical="top"/>
    </xf>
    <xf numFmtId="164" fontId="11" fillId="0" borderId="4" xfId="108" applyFont="1" applyFill="1" applyBorder="1" applyAlignment="1">
      <alignment vertical="top"/>
    </xf>
    <xf numFmtId="10" fontId="11" fillId="0" borderId="4" xfId="28" applyNumberFormat="1" applyFont="1" applyFill="1" applyBorder="1" applyAlignment="1">
      <alignment horizontal="right" vertical="top"/>
    </xf>
    <xf numFmtId="174" fontId="11" fillId="0" borderId="5" xfId="108" applyNumberFormat="1" applyFont="1" applyFill="1" applyBorder="1" applyAlignment="1">
      <alignment vertical="top"/>
    </xf>
    <xf numFmtId="164" fontId="11" fillId="0" borderId="5" xfId="108" applyFont="1" applyFill="1" applyBorder="1" applyAlignment="1">
      <alignment horizontal="center" vertical="top"/>
    </xf>
    <xf numFmtId="164" fontId="11" fillId="0" borderId="5" xfId="108" applyFont="1" applyFill="1" applyBorder="1" applyAlignment="1">
      <alignment vertical="top"/>
    </xf>
    <xf numFmtId="164" fontId="11" fillId="0" borderId="30" xfId="108" applyFont="1" applyBorder="1" applyAlignment="1">
      <alignment vertical="top"/>
    </xf>
    <xf numFmtId="174" fontId="9" fillId="0" borderId="19" xfId="108" applyNumberFormat="1" applyFont="1" applyBorder="1" applyAlignment="1">
      <alignment horizontal="center" vertical="top"/>
    </xf>
    <xf numFmtId="170" fontId="9" fillId="0" borderId="19" xfId="28" applyNumberFormat="1" applyFont="1" applyBorder="1" applyAlignment="1">
      <alignment horizontal="right" vertical="top"/>
    </xf>
    <xf numFmtId="0" fontId="7" fillId="0" borderId="0" xfId="0" applyFont="1" applyAlignment="1">
      <alignment horizontal="left" vertical="top"/>
    </xf>
    <xf numFmtId="0" fontId="7" fillId="0" borderId="0" xfId="0" applyFont="1" applyAlignment="1">
      <alignment horizontal="centerContinuous" vertical="top"/>
    </xf>
    <xf numFmtId="0" fontId="7" fillId="0" borderId="0" xfId="0" applyFont="1" applyAlignment="1">
      <alignment horizontal="right" vertical="top"/>
    </xf>
    <xf numFmtId="10" fontId="11" fillId="0" borderId="6" xfId="28" applyNumberFormat="1" applyFont="1" applyBorder="1" applyAlignment="1">
      <alignment horizontal="right" vertical="top"/>
    </xf>
    <xf numFmtId="164" fontId="11" fillId="0" borderId="6" xfId="108" applyFont="1" applyBorder="1" applyAlignment="1">
      <alignment horizontal="center" vertical="top"/>
    </xf>
    <xf numFmtId="10" fontId="11" fillId="0" borderId="6" xfId="28" applyNumberFormat="1" applyFont="1" applyBorder="1" applyAlignment="1">
      <alignment vertical="top"/>
    </xf>
    <xf numFmtId="10" fontId="11" fillId="0" borderId="4" xfId="28" applyNumberFormat="1" applyFont="1" applyBorder="1" applyAlignment="1">
      <alignment vertical="top"/>
    </xf>
    <xf numFmtId="164" fontId="11" fillId="0" borderId="5" xfId="108" applyFont="1" applyBorder="1" applyAlignment="1">
      <alignment horizontal="center" vertical="top"/>
    </xf>
    <xf numFmtId="10" fontId="11" fillId="0" borderId="5" xfId="28" applyNumberFormat="1" applyFont="1" applyBorder="1" applyAlignment="1">
      <alignment horizontal="right" vertical="top"/>
    </xf>
    <xf numFmtId="164" fontId="11" fillId="0" borderId="5" xfId="108" applyFont="1" applyBorder="1" applyAlignment="1">
      <alignment vertical="top"/>
    </xf>
    <xf numFmtId="10" fontId="9" fillId="0" borderId="19" xfId="28" applyNumberFormat="1" applyFont="1" applyBorder="1" applyAlignment="1">
      <alignment horizontal="center" vertical="top"/>
    </xf>
    <xf numFmtId="0" fontId="6" fillId="0" borderId="0" xfId="0" applyFont="1" applyAlignment="1">
      <alignment horizontal="center" vertical="top"/>
    </xf>
    <xf numFmtId="0" fontId="45" fillId="0" borderId="4" xfId="0" applyFont="1" applyBorder="1"/>
    <xf numFmtId="4" fontId="0" fillId="0" borderId="4" xfId="0" applyNumberFormat="1" applyBorder="1" applyAlignment="1">
      <alignment horizontal="center" vertical="center"/>
    </xf>
    <xf numFmtId="0" fontId="0" fillId="0" borderId="4" xfId="0" applyBorder="1" applyAlignment="1">
      <alignment horizontal="center" vertical="center"/>
    </xf>
    <xf numFmtId="164" fontId="0" fillId="0" borderId="0" xfId="0" applyNumberFormat="1"/>
    <xf numFmtId="2" fontId="6" fillId="0" borderId="4" xfId="0" applyNumberFormat="1" applyFont="1" applyBorder="1" applyAlignment="1">
      <alignment horizontal="center" vertical="center"/>
    </xf>
    <xf numFmtId="1" fontId="49" fillId="0" borderId="0" xfId="201" applyNumberFormat="1" applyFont="1" applyAlignment="1">
      <alignment horizontal="center" vertical="top" wrapText="1"/>
    </xf>
    <xf numFmtId="1" fontId="49" fillId="0" borderId="0" xfId="201" applyNumberFormat="1" applyFont="1" applyAlignment="1">
      <alignment horizontal="center" vertical="center" wrapText="1"/>
    </xf>
    <xf numFmtId="0" fontId="0" fillId="0" borderId="0" xfId="0" applyAlignment="1">
      <alignment horizontal="center" vertical="center"/>
    </xf>
    <xf numFmtId="3" fontId="6" fillId="0" borderId="4" xfId="0" applyNumberFormat="1" applyFont="1" applyBorder="1" applyAlignment="1">
      <alignment horizontal="center" vertical="center"/>
    </xf>
    <xf numFmtId="3" fontId="0" fillId="0" borderId="4" xfId="0" applyNumberFormat="1" applyBorder="1" applyAlignment="1">
      <alignment horizontal="center" vertical="center"/>
    </xf>
    <xf numFmtId="0" fontId="0" fillId="0" borderId="0" xfId="0" applyAlignment="1">
      <alignment horizontal="left"/>
    </xf>
    <xf numFmtId="0" fontId="6" fillId="0" borderId="7" xfId="0" applyFont="1" applyBorder="1" applyAlignment="1">
      <alignment horizontal="left" vertical="center"/>
    </xf>
    <xf numFmtId="0" fontId="6" fillId="8" borderId="4" xfId="0" applyFont="1" applyFill="1" applyBorder="1" applyAlignment="1">
      <alignment vertical="top"/>
    </xf>
    <xf numFmtId="0" fontId="6" fillId="8" borderId="4" xfId="0" applyFont="1" applyFill="1" applyBorder="1" applyAlignment="1">
      <alignment vertical="center" wrapText="1"/>
    </xf>
    <xf numFmtId="4" fontId="7" fillId="0" borderId="4" xfId="38" applyNumberFormat="1" applyFont="1" applyBorder="1" applyAlignment="1">
      <alignment horizontal="center"/>
    </xf>
    <xf numFmtId="0" fontId="7" fillId="7" borderId="8" xfId="0" applyFont="1" applyFill="1" applyBorder="1" applyAlignment="1">
      <alignment horizontal="center" vertical="center"/>
    </xf>
    <xf numFmtId="0" fontId="6" fillId="0" borderId="8" xfId="0" applyFont="1" applyBorder="1" applyAlignment="1">
      <alignment horizontal="center" vertical="center"/>
    </xf>
    <xf numFmtId="0" fontId="0" fillId="0" borderId="8" xfId="0" applyBorder="1"/>
    <xf numFmtId="0" fontId="0" fillId="0" borderId="4" xfId="0" applyBorder="1" applyAlignment="1">
      <alignment horizontal="left"/>
    </xf>
    <xf numFmtId="0" fontId="5" fillId="0" borderId="4" xfId="0" applyFont="1" applyBorder="1" applyAlignment="1">
      <alignment horizontal="left"/>
    </xf>
    <xf numFmtId="0" fontId="0" fillId="7" borderId="4" xfId="0" applyFill="1" applyBorder="1"/>
    <xf numFmtId="0" fontId="6" fillId="0" borderId="4" xfId="0" applyFont="1" applyBorder="1" applyAlignment="1">
      <alignment horizontal="left" vertical="center"/>
    </xf>
    <xf numFmtId="4" fontId="6" fillId="0" borderId="0" xfId="38" applyNumberFormat="1" applyFont="1" applyAlignment="1">
      <alignment horizontal="center"/>
    </xf>
    <xf numFmtId="0" fontId="0" fillId="0" borderId="4" xfId="0" applyBorder="1" applyAlignment="1">
      <alignment horizontal="center"/>
    </xf>
    <xf numFmtId="0" fontId="0" fillId="15" borderId="4" xfId="0" applyFill="1" applyBorder="1" applyAlignment="1">
      <alignment horizontal="left"/>
    </xf>
    <xf numFmtId="4" fontId="44" fillId="8" borderId="4" xfId="0" applyNumberFormat="1" applyFont="1" applyFill="1" applyBorder="1" applyAlignment="1">
      <alignment horizontal="center"/>
    </xf>
    <xf numFmtId="4" fontId="50" fillId="0" borderId="0" xfId="0" applyNumberFormat="1" applyFont="1" applyAlignment="1">
      <alignment horizontal="center" vertical="center"/>
    </xf>
    <xf numFmtId="10" fontId="50" fillId="0" borderId="0" xfId="0" applyNumberFormat="1" applyFont="1" applyAlignment="1">
      <alignment horizontal="center" vertical="center" wrapText="1"/>
    </xf>
    <xf numFmtId="0" fontId="50" fillId="0" borderId="0" xfId="0" applyFont="1" applyAlignment="1">
      <alignment horizontal="center" vertical="center"/>
    </xf>
    <xf numFmtId="4" fontId="51" fillId="0" borderId="0" xfId="0" applyNumberFormat="1" applyFont="1" applyAlignment="1">
      <alignment horizontal="center" vertical="center"/>
    </xf>
    <xf numFmtId="9" fontId="51" fillId="0" borderId="0" xfId="0" applyNumberFormat="1" applyFont="1" applyAlignment="1">
      <alignment horizontal="center" vertical="center"/>
    </xf>
    <xf numFmtId="10" fontId="51" fillId="0" borderId="0" xfId="0" applyNumberFormat="1" applyFont="1" applyAlignment="1">
      <alignment horizontal="center" vertical="center"/>
    </xf>
    <xf numFmtId="0" fontId="9" fillId="0" borderId="0" xfId="14" applyFont="1" applyAlignment="1">
      <alignment horizontal="center" vertical="center"/>
    </xf>
    <xf numFmtId="0" fontId="9" fillId="0" borderId="0" xfId="0" applyFont="1" applyAlignment="1">
      <alignment horizontal="center" vertical="center" wrapText="1"/>
    </xf>
    <xf numFmtId="0" fontId="9" fillId="4" borderId="4" xfId="14" applyFont="1" applyFill="1" applyBorder="1" applyAlignment="1">
      <alignment horizontal="center" vertical="center" wrapText="1"/>
    </xf>
    <xf numFmtId="0" fontId="10" fillId="0" borderId="4" xfId="0" applyFont="1" applyBorder="1" applyAlignment="1">
      <alignment horizontal="center" vertical="center" wrapText="1"/>
    </xf>
    <xf numFmtId="0" fontId="9" fillId="4" borderId="4" xfId="14" applyFont="1" applyFill="1" applyBorder="1" applyAlignment="1">
      <alignment horizontal="center" vertical="center"/>
    </xf>
    <xf numFmtId="0" fontId="10" fillId="0" borderId="4" xfId="0" applyFont="1" applyBorder="1" applyAlignment="1">
      <alignment horizontal="center" vertical="center"/>
    </xf>
    <xf numFmtId="0" fontId="7" fillId="4" borderId="5" xfId="15" applyFont="1" applyFill="1" applyBorder="1" applyAlignment="1">
      <alignment horizontal="center" vertical="center" wrapText="1"/>
    </xf>
    <xf numFmtId="0" fontId="7" fillId="4" borderId="7" xfId="15" applyFont="1" applyFill="1" applyBorder="1" applyAlignment="1">
      <alignment horizontal="center" vertical="center" wrapText="1"/>
    </xf>
    <xf numFmtId="0" fontId="5" fillId="0" borderId="6" xfId="10" applyFont="1" applyBorder="1" applyAlignment="1">
      <alignment horizontal="center" vertical="center" wrapText="1"/>
    </xf>
    <xf numFmtId="0" fontId="7" fillId="4" borderId="4" xfId="15" applyFont="1" applyFill="1" applyBorder="1" applyAlignment="1">
      <alignment horizontal="center" vertical="center"/>
    </xf>
    <xf numFmtId="0" fontId="5" fillId="0" borderId="4" xfId="10" applyFont="1" applyBorder="1" applyAlignment="1">
      <alignment horizontal="center" vertical="center"/>
    </xf>
    <xf numFmtId="0" fontId="7" fillId="4" borderId="6" xfId="15" applyFont="1" applyFill="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top"/>
    </xf>
    <xf numFmtId="0" fontId="7" fillId="4" borderId="4" xfId="26" applyFont="1" applyFill="1" applyBorder="1" applyAlignment="1">
      <alignment horizontal="center" vertical="center" wrapText="1"/>
    </xf>
    <xf numFmtId="0" fontId="5" fillId="0" borderId="4" xfId="38" applyBorder="1" applyAlignment="1">
      <alignment horizontal="center" vertical="center" wrapText="1"/>
    </xf>
    <xf numFmtId="0" fontId="38" fillId="11" borderId="4" xfId="109" applyFont="1" applyFill="1" applyBorder="1" applyAlignment="1">
      <alignment horizontal="center"/>
    </xf>
    <xf numFmtId="0" fontId="6" fillId="0" borderId="4" xfId="38" applyFont="1" applyBorder="1" applyAlignment="1">
      <alignment horizontal="center" vertical="center" wrapText="1"/>
    </xf>
    <xf numFmtId="0" fontId="7" fillId="4" borderId="4" xfId="26" applyFont="1" applyFill="1" applyBorder="1" applyAlignment="1">
      <alignment horizontal="center" vertical="center"/>
    </xf>
    <xf numFmtId="0" fontId="6" fillId="0" borderId="4" xfId="38"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center" vertical="top"/>
    </xf>
    <xf numFmtId="0" fontId="6" fillId="0" borderId="4" xfId="59" applyFont="1" applyBorder="1" applyAlignment="1">
      <alignment horizontal="center" vertical="center" wrapText="1"/>
    </xf>
    <xf numFmtId="0" fontId="20" fillId="0" borderId="4" xfId="38" applyFont="1" applyBorder="1" applyAlignment="1">
      <alignment horizontal="center" vertical="center" wrapText="1"/>
    </xf>
    <xf numFmtId="0" fontId="20" fillId="0" borderId="4" xfId="38" applyFont="1" applyBorder="1" applyAlignment="1">
      <alignment horizontal="center" vertical="center"/>
    </xf>
    <xf numFmtId="0" fontId="9" fillId="0" borderId="0" xfId="0" applyFont="1" applyAlignment="1">
      <alignment horizontal="left"/>
    </xf>
    <xf numFmtId="0" fontId="6" fillId="0" borderId="6" xfId="10" applyFont="1" applyBorder="1" applyAlignment="1">
      <alignment horizontal="center" vertical="center" wrapText="1"/>
    </xf>
    <xf numFmtId="0" fontId="6" fillId="0" borderId="4" xfId="10" applyFont="1" applyBorder="1" applyAlignment="1">
      <alignment horizontal="center" vertical="center"/>
    </xf>
    <xf numFmtId="0" fontId="7" fillId="4" borderId="9" xfId="15" applyFont="1" applyFill="1" applyBorder="1" applyAlignment="1">
      <alignment horizontal="center" vertical="center" wrapText="1"/>
    </xf>
    <xf numFmtId="0" fontId="7" fillId="4" borderId="3" xfId="15" applyFont="1" applyFill="1" applyBorder="1" applyAlignment="1">
      <alignment horizontal="center" vertical="center" wrapText="1"/>
    </xf>
    <xf numFmtId="0" fontId="7" fillId="4" borderId="8" xfId="15" applyFont="1" applyFill="1" applyBorder="1" applyAlignment="1">
      <alignment horizontal="center" vertical="center" wrapText="1"/>
    </xf>
    <xf numFmtId="0" fontId="7" fillId="4" borderId="4" xfId="15" applyFont="1" applyFill="1" applyBorder="1" applyAlignment="1">
      <alignment horizontal="center" vertical="center" wrapText="1"/>
    </xf>
    <xf numFmtId="0" fontId="6" fillId="0" borderId="4" xfId="10" applyFont="1" applyBorder="1" applyAlignment="1">
      <alignment horizontal="center" vertical="center" wrapText="1"/>
    </xf>
    <xf numFmtId="0" fontId="7" fillId="4" borderId="9" xfId="26" applyFont="1" applyFill="1" applyBorder="1" applyAlignment="1">
      <alignment horizontal="center" vertical="center" wrapText="1"/>
    </xf>
    <xf numFmtId="0" fontId="7" fillId="4" borderId="3" xfId="26" applyFont="1" applyFill="1" applyBorder="1" applyAlignment="1">
      <alignment horizontal="center" vertical="center" wrapText="1"/>
    </xf>
    <xf numFmtId="0" fontId="7" fillId="4" borderId="8" xfId="26" applyFont="1" applyFill="1" applyBorder="1" applyAlignment="1">
      <alignment horizontal="center" vertical="center" wrapText="1"/>
    </xf>
    <xf numFmtId="0" fontId="7" fillId="4" borderId="5" xfId="26" applyFont="1" applyFill="1" applyBorder="1" applyAlignment="1">
      <alignment horizontal="center" vertical="center" wrapText="1"/>
    </xf>
    <xf numFmtId="0" fontId="7" fillId="4" borderId="7" xfId="26" applyFont="1" applyFill="1" applyBorder="1" applyAlignment="1">
      <alignment horizontal="center" vertical="center" wrapText="1"/>
    </xf>
    <xf numFmtId="0" fontId="6" fillId="0" borderId="6" xfId="38" applyFont="1" applyBorder="1" applyAlignment="1">
      <alignment horizontal="center" vertical="center" wrapText="1"/>
    </xf>
    <xf numFmtId="0" fontId="20" fillId="0" borderId="4" xfId="10" applyFont="1" applyBorder="1" applyAlignment="1">
      <alignment horizontal="center" vertical="center" wrapText="1"/>
    </xf>
    <xf numFmtId="0" fontId="20" fillId="0" borderId="6" xfId="10" applyFont="1" applyBorder="1" applyAlignment="1">
      <alignment horizontal="center" vertical="center" wrapText="1"/>
    </xf>
    <xf numFmtId="0" fontId="7" fillId="4" borderId="32" xfId="26" applyFont="1" applyFill="1" applyBorder="1" applyAlignment="1">
      <alignment horizontal="center" vertical="center" wrapText="1"/>
    </xf>
    <xf numFmtId="0" fontId="7" fillId="4" borderId="33" xfId="26" applyFont="1" applyFill="1" applyBorder="1" applyAlignment="1">
      <alignment horizontal="center" vertical="center" wrapText="1"/>
    </xf>
    <xf numFmtId="0" fontId="7" fillId="4" borderId="34" xfId="26" applyFont="1" applyFill="1" applyBorder="1" applyAlignment="1">
      <alignment horizontal="center" vertical="center" wrapText="1"/>
    </xf>
    <xf numFmtId="0" fontId="7" fillId="4" borderId="11" xfId="26" applyFont="1" applyFill="1" applyBorder="1" applyAlignment="1">
      <alignment horizontal="center" vertical="top" wrapText="1"/>
    </xf>
    <xf numFmtId="0" fontId="7" fillId="4" borderId="16" xfId="26" applyFont="1" applyFill="1" applyBorder="1" applyAlignment="1">
      <alignment horizontal="center" vertical="top" wrapText="1"/>
    </xf>
    <xf numFmtId="0" fontId="20" fillId="0" borderId="18" xfId="38" applyFont="1" applyBorder="1" applyAlignment="1">
      <alignment horizontal="center" vertical="top" wrapText="1"/>
    </xf>
    <xf numFmtId="0" fontId="7" fillId="4" borderId="12" xfId="26" applyFont="1" applyFill="1" applyBorder="1" applyAlignment="1">
      <alignment horizontal="center" vertical="top" wrapText="1"/>
    </xf>
    <xf numFmtId="0" fontId="7" fillId="4" borderId="4" xfId="26" applyFont="1" applyFill="1" applyBorder="1" applyAlignment="1">
      <alignment horizontal="center" vertical="top" wrapText="1"/>
    </xf>
    <xf numFmtId="0" fontId="20" fillId="0" borderId="19" xfId="38" applyFont="1" applyBorder="1" applyAlignment="1">
      <alignment horizontal="center" vertical="top" wrapText="1"/>
    </xf>
    <xf numFmtId="0" fontId="7" fillId="4" borderId="13" xfId="26" applyFont="1" applyFill="1" applyBorder="1" applyAlignment="1">
      <alignment horizontal="center" vertical="top" wrapText="1"/>
    </xf>
    <xf numFmtId="0" fontId="7" fillId="4" borderId="14" xfId="26" applyFont="1" applyFill="1" applyBorder="1" applyAlignment="1">
      <alignment horizontal="center" vertical="top" wrapText="1"/>
    </xf>
    <xf numFmtId="0" fontId="7" fillId="4" borderId="15" xfId="26" applyFont="1" applyFill="1" applyBorder="1" applyAlignment="1">
      <alignment horizontal="center" vertical="top" wrapText="1"/>
    </xf>
    <xf numFmtId="0" fontId="7" fillId="4" borderId="24" xfId="26" applyFont="1" applyFill="1" applyBorder="1" applyAlignment="1">
      <alignment horizontal="center" vertical="top" wrapText="1"/>
    </xf>
    <xf numFmtId="0" fontId="7" fillId="4" borderId="26" xfId="26" applyFont="1" applyFill="1" applyBorder="1" applyAlignment="1">
      <alignment horizontal="center" vertical="top" wrapText="1"/>
    </xf>
    <xf numFmtId="0" fontId="20" fillId="0" borderId="27" xfId="38" applyFont="1" applyBorder="1" applyAlignment="1">
      <alignment horizontal="center" vertical="top" wrapText="1"/>
    </xf>
    <xf numFmtId="0" fontId="7" fillId="4" borderId="25" xfId="26" applyFont="1" applyFill="1" applyBorder="1" applyAlignment="1">
      <alignment horizontal="center" vertical="top" wrapText="1"/>
    </xf>
    <xf numFmtId="0" fontId="7" fillId="4" borderId="17" xfId="26" applyFont="1" applyFill="1" applyBorder="1" applyAlignment="1">
      <alignment horizontal="center" vertical="top" wrapText="1"/>
    </xf>
    <xf numFmtId="0" fontId="7" fillId="4" borderId="12" xfId="26" applyFont="1" applyFill="1" applyBorder="1" applyAlignment="1">
      <alignment horizontal="center" vertical="top"/>
    </xf>
    <xf numFmtId="0" fontId="7" fillId="4" borderId="4" xfId="26" applyFont="1" applyFill="1" applyBorder="1" applyAlignment="1">
      <alignment horizontal="center" vertical="top"/>
    </xf>
    <xf numFmtId="0" fontId="20" fillId="0" borderId="19" xfId="38" applyFont="1" applyBorder="1" applyAlignment="1">
      <alignment horizontal="center" vertical="top"/>
    </xf>
    <xf numFmtId="0" fontId="7" fillId="4" borderId="29" xfId="26" applyFont="1" applyFill="1" applyBorder="1" applyAlignment="1">
      <alignment horizontal="center" vertical="top" wrapText="1"/>
    </xf>
    <xf numFmtId="0" fontId="20" fillId="0" borderId="21" xfId="59" applyFont="1" applyBorder="1" applyAlignment="1">
      <alignment horizontal="center" vertical="top" wrapText="1"/>
    </xf>
    <xf numFmtId="0" fontId="6" fillId="0" borderId="27" xfId="38" applyFont="1" applyBorder="1" applyAlignment="1">
      <alignment horizontal="center" vertical="top" wrapText="1"/>
    </xf>
    <xf numFmtId="0" fontId="6" fillId="0" borderId="19" xfId="38" applyFont="1" applyBorder="1" applyAlignment="1">
      <alignment horizontal="center" vertical="top"/>
    </xf>
    <xf numFmtId="0" fontId="7" fillId="4" borderId="9" xfId="26" applyFont="1" applyFill="1" applyBorder="1" applyAlignment="1">
      <alignment horizontal="center" vertical="top" wrapText="1"/>
    </xf>
    <xf numFmtId="0" fontId="7" fillId="4" borderId="3" xfId="26" applyFont="1" applyFill="1" applyBorder="1" applyAlignment="1">
      <alignment horizontal="center" vertical="top" wrapText="1"/>
    </xf>
    <xf numFmtId="0" fontId="7" fillId="4" borderId="8" xfId="26" applyFont="1" applyFill="1" applyBorder="1" applyAlignment="1">
      <alignment horizontal="center" vertical="top" wrapText="1"/>
    </xf>
    <xf numFmtId="0" fontId="7" fillId="4" borderId="31" xfId="26" applyFont="1" applyFill="1" applyBorder="1" applyAlignment="1">
      <alignment horizontal="center" vertical="top" wrapText="1"/>
    </xf>
    <xf numFmtId="0" fontId="7" fillId="4" borderId="9" xfId="26" applyFont="1" applyFill="1" applyBorder="1" applyAlignment="1">
      <alignment horizontal="center" vertical="center"/>
    </xf>
    <xf numFmtId="0" fontId="7" fillId="4" borderId="3" xfId="26" applyFont="1" applyFill="1" applyBorder="1" applyAlignment="1">
      <alignment horizontal="center" vertical="center"/>
    </xf>
    <xf numFmtId="0" fontId="0" fillId="0" borderId="0" xfId="0" applyAlignment="1">
      <alignment horizontal="center" vertical="center"/>
    </xf>
    <xf numFmtId="0" fontId="45" fillId="7" borderId="9" xfId="0" applyFont="1" applyFill="1" applyBorder="1" applyAlignment="1">
      <alignment horizontal="center"/>
    </xf>
    <xf numFmtId="0" fontId="45" fillId="7" borderId="3" xfId="0" applyFont="1" applyFill="1" applyBorder="1" applyAlignment="1">
      <alignment horizontal="center"/>
    </xf>
    <xf numFmtId="0" fontId="45" fillId="7" borderId="8" xfId="0" applyFont="1" applyFill="1" applyBorder="1" applyAlignment="1">
      <alignment horizontal="center"/>
    </xf>
    <xf numFmtId="0" fontId="7" fillId="7" borderId="4" xfId="0" applyFont="1" applyFill="1" applyBorder="1" applyAlignment="1">
      <alignment horizontal="center"/>
    </xf>
    <xf numFmtId="0" fontId="36" fillId="0" borderId="0" xfId="38" applyFont="1" applyAlignment="1">
      <alignment horizontal="left" vertical="center" wrapText="1"/>
    </xf>
    <xf numFmtId="0" fontId="7" fillId="0" borderId="10" xfId="38" applyFont="1" applyBorder="1" applyAlignment="1">
      <alignment horizontal="center"/>
    </xf>
    <xf numFmtId="0" fontId="1" fillId="0" borderId="4" xfId="109" applyFont="1" applyBorder="1"/>
    <xf numFmtId="0" fontId="1" fillId="0" borderId="0" xfId="109" applyFont="1"/>
  </cellXfs>
  <cellStyles count="211">
    <cellStyle name="Body" xfId="1" xr:uid="{00000000-0005-0000-0000-000000000000}"/>
    <cellStyle name="Comma" xfId="65" builtinId="3"/>
    <cellStyle name="Comma  - Style1" xfId="2" xr:uid="{00000000-0005-0000-0000-000001000000}"/>
    <cellStyle name="Comma 10" xfId="80" xr:uid="{6DE132C3-070A-43D4-8E61-962914395436}"/>
    <cellStyle name="Comma 10 2" xfId="121" xr:uid="{C972504E-EEBE-4B8B-AB37-BC7EB3F740DB}"/>
    <cellStyle name="Comma 11" xfId="83" xr:uid="{9CC8EEA7-0DFB-4FAE-8B08-EA443754C5F4}"/>
    <cellStyle name="Comma 11 2" xfId="22" xr:uid="{00000000-0005-0000-0000-000002000000}"/>
    <cellStyle name="Comma 11 2 2" xfId="122" xr:uid="{BE8D8A80-8DAE-44CA-A37E-2B4966A5F8C1}"/>
    <cellStyle name="Comma 11 2 2 2" xfId="123" xr:uid="{1FC57DD7-F516-4B52-A015-908898E096F2}"/>
    <cellStyle name="Comma 11 2 3" xfId="124" xr:uid="{88A67305-37F3-4B46-888B-46F7995A7BE3}"/>
    <cellStyle name="Comma 11 3" xfId="125" xr:uid="{838B5F9C-61A8-43CC-96CC-643C5F1D2431}"/>
    <cellStyle name="Comma 12" xfId="96" xr:uid="{7909DEE8-E349-4B12-9828-613824405FDF}"/>
    <cellStyle name="Comma 12 2" xfId="126" xr:uid="{1782969D-91F6-4337-9DAD-14463D30483A}"/>
    <cellStyle name="Comma 12 3" xfId="127" xr:uid="{D7982ED2-96B4-4061-BFC0-A1F00A10D1E1}"/>
    <cellStyle name="Comma 13" xfId="99" xr:uid="{BCE08AC4-F267-45F4-A752-562EB11377BA}"/>
    <cellStyle name="Comma 13 2" xfId="128" xr:uid="{9A13454A-81E5-4881-A37D-AA27DB947273}"/>
    <cellStyle name="Comma 14" xfId="104" xr:uid="{FF482A09-CF31-4890-BCEB-00E210658743}"/>
    <cellStyle name="Comma 15" xfId="91" xr:uid="{4081FA86-2F21-4546-8390-5B1399284191}"/>
    <cellStyle name="Comma 16" xfId="108" xr:uid="{3E228873-6A14-4CA1-93F8-418964469F4E}"/>
    <cellStyle name="Comma 17" xfId="111" xr:uid="{259FA670-F0EA-47EB-BCED-5CD8459FB5A7}"/>
    <cellStyle name="Comma 18" xfId="113" xr:uid="{A61D1496-DC4C-41D8-B66C-CFB8D47B7646}"/>
    <cellStyle name="Comma 19" xfId="115" xr:uid="{20CB4F0A-608E-421E-98F8-086FBD0FB260}"/>
    <cellStyle name="Comma 2" xfId="31" xr:uid="{00000000-0005-0000-0000-000003000000}"/>
    <cellStyle name="Comma 2 2" xfId="32" xr:uid="{00000000-0005-0000-0000-000004000000}"/>
    <cellStyle name="Comma 2 2 2" xfId="75" xr:uid="{BC32557B-4506-4935-9E84-8CC9946C3ECF}"/>
    <cellStyle name="Comma 2 2 2 2" xfId="129" xr:uid="{1FE03825-66B6-4285-BE7F-146275C0C118}"/>
    <cellStyle name="Comma 2 2 2 3" xfId="130" xr:uid="{2B59A26B-6E8B-4406-89F5-91DA841F4687}"/>
    <cellStyle name="Comma 2 2 3" xfId="131" xr:uid="{390BB781-6A3E-4C3B-AB86-3B065938E45F}"/>
    <cellStyle name="Comma 2 2 4" xfId="132" xr:uid="{97718A3D-299F-4B27-9C8B-1E4BF695D2F0}"/>
    <cellStyle name="Comma 2 3" xfId="33" xr:uid="{00000000-0005-0000-0000-000005000000}"/>
    <cellStyle name="Comma 2 3 2" xfId="133" xr:uid="{7CF05ABE-060F-445C-96B1-EC6D6EB48B4A}"/>
    <cellStyle name="Comma 2 3 3" xfId="134" xr:uid="{6386231C-BB11-4E43-BBB6-800DD8045409}"/>
    <cellStyle name="Comma 2 4" xfId="61" xr:uid="{00000000-0005-0000-0000-000006000000}"/>
    <cellStyle name="Comma 2 5" xfId="85" xr:uid="{2D7A9D8C-8780-4282-9D51-4B335E68DB43}"/>
    <cellStyle name="Comma 2 5 2" xfId="135" xr:uid="{153C164A-D0AE-4AE2-B6B7-2138B7507C3C}"/>
    <cellStyle name="Comma 2 5 3" xfId="136" xr:uid="{1363DBC2-2044-4BFC-A3CE-8EB243165AC7}"/>
    <cellStyle name="Comma 2 6" xfId="137" xr:uid="{1F091BB0-0B68-4057-B2E6-FEA9386A138C}"/>
    <cellStyle name="Comma 2 7" xfId="138" xr:uid="{5EC95F19-F486-4861-BB19-097CD5B23D67}"/>
    <cellStyle name="Comma 2 7 2" xfId="139" xr:uid="{18C288DA-42BF-4A4E-BC7D-608CC3EE7E9E}"/>
    <cellStyle name="Comma 2 7 2 2" xfId="140" xr:uid="{F2764A89-929A-4F23-8C05-1836A100BB78}"/>
    <cellStyle name="Comma 2 8" xfId="141" xr:uid="{908C4744-6A60-46DC-B21D-A7B868678F97}"/>
    <cellStyle name="Comma 20" xfId="142" xr:uid="{C51C7991-184A-4DBE-A3D8-5988BD86A106}"/>
    <cellStyle name="Comma 21" xfId="205" xr:uid="{15BE2E26-AA1E-40CB-B20F-B96843DC43C6}"/>
    <cellStyle name="Comma 22" xfId="208" xr:uid="{99F332AD-CE0C-431B-84C9-ADF395D7D415}"/>
    <cellStyle name="Comma 26 2 3" xfId="143" xr:uid="{47E881EE-E0B2-459D-8E0E-52CACE30EFFB}"/>
    <cellStyle name="Comma 3" xfId="34" xr:uid="{00000000-0005-0000-0000-000007000000}"/>
    <cellStyle name="Comma 3 2" xfId="102" xr:uid="{4A2F3A4E-E8A2-4F61-B3F5-C50E964731BD}"/>
    <cellStyle name="Comma 3 2 2" xfId="144" xr:uid="{35FFA1DA-35EE-4FF8-AE7C-2A7674E19586}"/>
    <cellStyle name="Comma 3 2 3" xfId="145" xr:uid="{BD31D066-F24A-43DD-8BB4-128D2A3E811C}"/>
    <cellStyle name="Comma 3 3" xfId="146" xr:uid="{96BE57FA-C8E4-4535-978A-A5648CA41F22}"/>
    <cellStyle name="Comma 3 4" xfId="147" xr:uid="{A3FD1DA8-504D-40F9-8564-656D89B1477C}"/>
    <cellStyle name="Comma 4" xfId="35" xr:uid="{00000000-0005-0000-0000-000008000000}"/>
    <cellStyle name="Comma 4 2" xfId="148" xr:uid="{092787A1-92CB-4D24-A451-75752DA0BEA2}"/>
    <cellStyle name="Comma 4 2 2" xfId="149" xr:uid="{D59A05D9-D378-4B07-A57C-13931436A100}"/>
    <cellStyle name="Comma 4 3" xfId="150" xr:uid="{5583B19C-EF39-474B-8CF9-CAB5C8E44D5A}"/>
    <cellStyle name="Comma 4 4" xfId="151" xr:uid="{24CF2A1A-64EA-4890-A1F9-13B236039E08}"/>
    <cellStyle name="Comma 5" xfId="36" xr:uid="{00000000-0005-0000-0000-000009000000}"/>
    <cellStyle name="Comma 5 2" xfId="152" xr:uid="{FCF558C6-EA8B-4066-BBC3-DC75733506D0}"/>
    <cellStyle name="Comma 5 3" xfId="153" xr:uid="{D1B7225A-1C5E-4962-9985-A05835BEAA78}"/>
    <cellStyle name="Comma 6" xfId="27" xr:uid="{00000000-0005-0000-0000-00000A000000}"/>
    <cellStyle name="Comma 6 2" xfId="30" xr:uid="{00000000-0005-0000-0000-00000B000000}"/>
    <cellStyle name="Comma 6 3" xfId="55" xr:uid="{00000000-0005-0000-0000-00000C000000}"/>
    <cellStyle name="Comma 6 4" xfId="56" xr:uid="{00000000-0005-0000-0000-00000D000000}"/>
    <cellStyle name="Comma 7" xfId="37" xr:uid="{00000000-0005-0000-0000-00000E000000}"/>
    <cellStyle name="Comma 8" xfId="72" xr:uid="{2C50122B-3132-4225-8392-31C8EF2D0E16}"/>
    <cellStyle name="Comma 8 2" xfId="154" xr:uid="{A6A42881-1D58-48B8-8CB0-519644290877}"/>
    <cellStyle name="Comma 8 3" xfId="155" xr:uid="{E413E5AE-B92D-454C-BC3D-0125B5D176A1}"/>
    <cellStyle name="Comma 9" xfId="78" xr:uid="{E1947936-16CE-497A-9F92-CFA1E75D968D}"/>
    <cellStyle name="Comma 9 2" xfId="156" xr:uid="{973739B1-94FD-4824-AEFC-BBFFA7537227}"/>
    <cellStyle name="Curren - Style2" xfId="3" xr:uid="{00000000-0005-0000-0000-00000F000000}"/>
    <cellStyle name="Grey" xfId="4" xr:uid="{00000000-0005-0000-0000-000010000000}"/>
    <cellStyle name="Header1" xfId="5" xr:uid="{00000000-0005-0000-0000-000011000000}"/>
    <cellStyle name="Header2" xfId="6" xr:uid="{00000000-0005-0000-0000-000012000000}"/>
    <cellStyle name="Hyperlink" xfId="66" builtinId="8"/>
    <cellStyle name="Hyperlink 2" xfId="157" xr:uid="{919D09BD-0C07-4084-9841-971A4704DEF4}"/>
    <cellStyle name="Input [yellow]" xfId="7" xr:uid="{00000000-0005-0000-0000-000013000000}"/>
    <cellStyle name="no dec" xfId="8" xr:uid="{00000000-0005-0000-0000-000014000000}"/>
    <cellStyle name="Normal" xfId="0" builtinId="0"/>
    <cellStyle name="Normal - Style1" xfId="9" xr:uid="{00000000-0005-0000-0000-000016000000}"/>
    <cellStyle name="Normal 10" xfId="67" xr:uid="{CD75C850-7E73-45FB-A36C-E9CAD2C87A92}"/>
    <cellStyle name="Normal 10 2" xfId="158" xr:uid="{FFFE909F-9503-4B93-AB0E-19A16A216CC2}"/>
    <cellStyle name="Normal 10 2 2 2" xfId="159" xr:uid="{1820E27B-AF76-4948-946B-DA9F6A9815B0}"/>
    <cellStyle name="Normal 10 2 2 2 2" xfId="160" xr:uid="{1FCCC1E8-A7C6-4BDD-986F-66D2CAC3E879}"/>
    <cellStyle name="Normal 10 2 4" xfId="161" xr:uid="{D9B0AB6C-AAE0-46E9-BE03-88AA095D040A}"/>
    <cellStyle name="Normal 10 3" xfId="162" xr:uid="{B89F97E4-C13B-429A-AE4F-B0FE5931B40B}"/>
    <cellStyle name="Normal 11" xfId="68" xr:uid="{18D9C375-EA9A-4D1A-A8A6-A46B72423A3A}"/>
    <cellStyle name="Normal 11 2" xfId="163" xr:uid="{3EF469C0-5620-4B0E-9B0C-563632453E60}"/>
    <cellStyle name="Normal 11 3" xfId="164" xr:uid="{48DCD05E-D893-4A9F-86A8-53E684CEDFD4}"/>
    <cellStyle name="Normal 117 2" xfId="165" xr:uid="{9F732907-05F9-46B4-9270-50A1B7A6A9B5}"/>
    <cellStyle name="Normal 12" xfId="73" xr:uid="{CA0F9A42-6EEB-4A60-BDA8-BC640664F4E3}"/>
    <cellStyle name="Normal 12 2" xfId="166" xr:uid="{084B9F2A-40B6-45DF-845F-02C40DD4AB0E}"/>
    <cellStyle name="Normal 12 2 2" xfId="167" xr:uid="{04D224E9-A78A-4579-AC2F-892DA36164B5}"/>
    <cellStyle name="Normal 12 3" xfId="168" xr:uid="{9F7DD815-6D99-4B64-974C-E672A90247C4}"/>
    <cellStyle name="Normal 12 4" xfId="169" xr:uid="{55FD59F3-0E34-4E86-9ACC-E2FEACA914D5}"/>
    <cellStyle name="Normal 13" xfId="77" xr:uid="{5ED56FB2-6CFB-440B-95B0-C6029511CD71}"/>
    <cellStyle name="Normal 13 2" xfId="170" xr:uid="{3DBBB226-7A8E-40AB-8D34-4CB609479DCD}"/>
    <cellStyle name="Normal 130 2" xfId="171" xr:uid="{D37CF994-52A7-42DA-A844-F42DE9E24A2C}"/>
    <cellStyle name="Normal 14" xfId="82" xr:uid="{DD98CD82-5898-4979-9A79-11C6AC417FFC}"/>
    <cellStyle name="Normal 15" xfId="21" xr:uid="{00000000-0005-0000-0000-000017000000}"/>
    <cellStyle name="Normal 15 2" xfId="172" xr:uid="{2F89BFDA-C9C0-4842-8C03-38A29825D7E1}"/>
    <cellStyle name="Normal 15 3" xfId="173" xr:uid="{97D6CE5A-8E2B-4430-8E13-1FAC364AF503}"/>
    <cellStyle name="Normal 16" xfId="81" xr:uid="{329BB5A8-7DA8-439F-9A62-166B22E09ECC}"/>
    <cellStyle name="Normal 17" xfId="89" xr:uid="{9A053065-3AF5-4BBD-9D89-7997A4DC6243}"/>
    <cellStyle name="Normal 18" xfId="92" xr:uid="{5918D932-DF11-4590-8803-D52A6C90E263}"/>
    <cellStyle name="Normal 18 2" xfId="174" xr:uid="{261C03EA-228A-482A-AB4F-217745477D2A}"/>
    <cellStyle name="Normal 18 3" xfId="175" xr:uid="{F3506D42-A27F-4933-88A0-8FA77C47F4F3}"/>
    <cellStyle name="Normal 19" xfId="90" xr:uid="{F1F18BC8-409D-42D2-9490-8944FCBFC2CF}"/>
    <cellStyle name="Normal 2" xfId="10" xr:uid="{00000000-0005-0000-0000-000018000000}"/>
    <cellStyle name="Normal 2 10" xfId="176" xr:uid="{6CD34ABB-0796-4C28-9546-853BFE21D354}"/>
    <cellStyle name="Normal 2 2" xfId="11" xr:uid="{00000000-0005-0000-0000-000019000000}"/>
    <cellStyle name="Normal 2 2 2" xfId="38" xr:uid="{00000000-0005-0000-0000-00001A000000}"/>
    <cellStyle name="Normal 2 2 2 2" xfId="59" xr:uid="{00000000-0005-0000-0000-00001B000000}"/>
    <cellStyle name="Normal 2 2 3" xfId="71" xr:uid="{4B86B661-71BF-47DE-A97C-CD7DC4C9A49B}"/>
    <cellStyle name="Normal 2 2 4" xfId="76" xr:uid="{7502C022-399A-4E01-BE41-03CC3F8BE397}"/>
    <cellStyle name="Normal 2 2 5" xfId="200" xr:uid="{5439303D-4230-4814-8C60-6F6BB8A68964}"/>
    <cellStyle name="Normal 2 2_Working APR 2007-08 Mahagenco_Bhushan_1.3" xfId="39" xr:uid="{00000000-0005-0000-0000-00001C000000}"/>
    <cellStyle name="Normal 2 3" xfId="12" xr:uid="{00000000-0005-0000-0000-00001D000000}"/>
    <cellStyle name="Normal 2 3 2" xfId="101" xr:uid="{23E781DC-ED15-4247-8441-F66F41C0E1BA}"/>
    <cellStyle name="Normal 2 4" xfId="25" xr:uid="{00000000-0005-0000-0000-00001E000000}"/>
    <cellStyle name="Normal 2 46 2" xfId="177" xr:uid="{96FF933D-E388-442A-B91B-7B205F35208D}"/>
    <cellStyle name="Normal 2 5" xfId="84" xr:uid="{8EE86865-6D4C-47A3-94E2-E2BE2A3072D1}"/>
    <cellStyle name="Normal 2 6" xfId="87" xr:uid="{AFA2944D-871F-41B5-95AB-BEA0173BEBD7}"/>
    <cellStyle name="Normal 2 7" xfId="103" xr:uid="{3E973F54-23AB-4415-96CB-2109679D6DEE}"/>
    <cellStyle name="Normal 2_ARR FINAL" xfId="40" xr:uid="{00000000-0005-0000-0000-00001F000000}"/>
    <cellStyle name="Normal 20" xfId="97" xr:uid="{786BA75A-2B7E-4734-9983-6E26602A6451}"/>
    <cellStyle name="Normal 21" xfId="106" xr:uid="{B7643106-EE05-4A69-88E0-6B30F9E7D7E7}"/>
    <cellStyle name="Normal 22" xfId="112" xr:uid="{C174A276-774F-45C4-B128-97A4B26669CC}"/>
    <cellStyle name="Normal 23" xfId="114" xr:uid="{567DA75F-FEB7-4025-9AC9-D9597E7A04A1}"/>
    <cellStyle name="Normal 24" xfId="109" xr:uid="{AB8A85FB-789E-4B22-909B-E37ECE487721}"/>
    <cellStyle name="Normal 25" xfId="116" xr:uid="{BAC4364D-7BE3-4D56-8E56-018E28ECD705}"/>
    <cellStyle name="Normal 26" xfId="117" xr:uid="{0DFEDCC0-9571-4FF3-A80C-5016C14DC133}"/>
    <cellStyle name="Normal 27" xfId="119" xr:uid="{353E7CD2-96DE-44B4-ADA6-7B445EDE5C77}"/>
    <cellStyle name="Normal 28" xfId="178" xr:uid="{FA9F2C14-1ADB-4227-92BC-39E4F89FEE61}"/>
    <cellStyle name="Normal 29" xfId="201" xr:uid="{DEAE637F-1EE6-4732-9799-01F89026955E}"/>
    <cellStyle name="Normal 3" xfId="13" xr:uid="{00000000-0005-0000-0000-000020000000}"/>
    <cellStyle name="Normal 3 2" xfId="29" xr:uid="{00000000-0005-0000-0000-000021000000}"/>
    <cellStyle name="Normal 3 2 2" xfId="62" xr:uid="{00000000-0005-0000-0000-000022000000}"/>
    <cellStyle name="Normal 3 2 3" xfId="179" xr:uid="{45F024B9-82C8-4F57-BD17-EE6231310E0C}"/>
    <cellStyle name="Normal 3 3" xfId="95" xr:uid="{0B71EEC1-0B23-4928-9AFE-A37450BA23F0}"/>
    <cellStyle name="Normal 30" xfId="204" xr:uid="{04E1C782-DDF9-4A49-81F7-021E542D7AF5}"/>
    <cellStyle name="Normal 31" xfId="206" xr:uid="{0CA0DBD3-926F-41F8-838D-01868C197726}"/>
    <cellStyle name="Normal 32" xfId="209" xr:uid="{E712FD3C-A073-4492-BE05-3700DC2853CD}"/>
    <cellStyle name="Normal 39" xfId="41" xr:uid="{00000000-0005-0000-0000-000023000000}"/>
    <cellStyle name="Normal 4" xfId="24" xr:uid="{00000000-0005-0000-0000-000024000000}"/>
    <cellStyle name="Normal 4 2" xfId="60" xr:uid="{00000000-0005-0000-0000-000025000000}"/>
    <cellStyle name="Normal 4 28" xfId="180" xr:uid="{CE36E8B7-0B93-4C34-BC92-C49C8B9904AF}"/>
    <cellStyle name="Normal 4 3" xfId="181" xr:uid="{CF7F9899-7CA2-427A-832C-9191F0262263}"/>
    <cellStyle name="Normal 5" xfId="42" xr:uid="{00000000-0005-0000-0000-000026000000}"/>
    <cellStyle name="Normal 5 2" xfId="43" xr:uid="{00000000-0005-0000-0000-000027000000}"/>
    <cellStyle name="Normal 5 3" xfId="182" xr:uid="{9E9CB90A-6C73-4270-8A84-29412841BBFA}"/>
    <cellStyle name="Normal 6" xfId="44" xr:uid="{00000000-0005-0000-0000-000028000000}"/>
    <cellStyle name="Normal 6 2" xfId="183" xr:uid="{0407276C-F229-46B5-9740-B4275545DAD1}"/>
    <cellStyle name="Normal 7" xfId="45" xr:uid="{00000000-0005-0000-0000-000029000000}"/>
    <cellStyle name="Normal 7 2" xfId="184" xr:uid="{164509FC-6B65-45FE-AD95-69606C309A2C}"/>
    <cellStyle name="Normal 7 2 2" xfId="185" xr:uid="{E5121017-6720-4F16-B187-142B3AC1CA9E}"/>
    <cellStyle name="Normal 8" xfId="57" xr:uid="{00000000-0005-0000-0000-00002A000000}"/>
    <cellStyle name="Normal 9" xfId="58" xr:uid="{00000000-0005-0000-0000-00002B000000}"/>
    <cellStyle name="Normal 9 2" xfId="186" xr:uid="{E5701183-51DA-4E67-8EE9-EE3334F38C33}"/>
    <cellStyle name="Normal_FORMATS 5 YEAR ALOKE" xfId="14" xr:uid="{00000000-0005-0000-0000-00002C000000}"/>
    <cellStyle name="Normal_FORMATS 5 YEAR ALOKE 2" xfId="15" xr:uid="{00000000-0005-0000-0000-00002D000000}"/>
    <cellStyle name="Normal_FORMATS 5 YEAR ALOKE 2 2" xfId="26" xr:uid="{00000000-0005-0000-0000-00002E000000}"/>
    <cellStyle name="Normal_FORMATS 5 YEAR ALOKE 3" xfId="16" xr:uid="{00000000-0005-0000-0000-00002F000000}"/>
    <cellStyle name="Percent" xfId="64" builtinId="5"/>
    <cellStyle name="Percent [0]_#6 Temps &amp; Contractors" xfId="17" xr:uid="{00000000-0005-0000-0000-000033000000}"/>
    <cellStyle name="Percent [2]" xfId="18" xr:uid="{00000000-0005-0000-0000-000034000000}"/>
    <cellStyle name="Percent [2] 2" xfId="187" xr:uid="{D70FD040-11EC-4BBA-8F5B-D32803801D99}"/>
    <cellStyle name="Percent 10" xfId="88" xr:uid="{846D66CD-704A-4661-ABFB-A43754D09B60}"/>
    <cellStyle name="Percent 10 2" xfId="188" xr:uid="{E7BBA3DE-562F-46F7-82EA-CB2B7564EDD8}"/>
    <cellStyle name="Percent 11" xfId="94" xr:uid="{6C7B48DB-E790-403E-B763-09A3622EDBEC}"/>
    <cellStyle name="Percent 12" xfId="100" xr:uid="{47A7D330-EA4A-4BD3-998F-FEACE23D526E}"/>
    <cellStyle name="Percent 12 2" xfId="189" xr:uid="{FFAB2A9A-9993-4E97-871E-D38A048A92D9}"/>
    <cellStyle name="Percent 13" xfId="93" xr:uid="{E7BC1CD5-29CF-4721-9CE9-7B2E11769F60}"/>
    <cellStyle name="Percent 14" xfId="105" xr:uid="{ACA02EA8-D5DE-48EA-A2E5-ECEE2FAE9A36}"/>
    <cellStyle name="Percent 15" xfId="107" xr:uid="{D95031B7-1082-4C2B-8738-F7AE2FE5441E}"/>
    <cellStyle name="Percent 16" xfId="118" xr:uid="{0FACBCEB-E749-4F32-BED3-C21FFD724007}"/>
    <cellStyle name="Percent 17" xfId="120" xr:uid="{CC695811-C752-4A71-BD59-3C354905BA43}"/>
    <cellStyle name="Percent 18" xfId="190" xr:uid="{4AAEFC5A-56FF-420E-AC01-40CF4C73AD56}"/>
    <cellStyle name="Percent 19" xfId="191" xr:uid="{18C0E2C6-99B8-4A99-9629-480C7D39E7BE}"/>
    <cellStyle name="Percent 2" xfId="28" xr:uid="{00000000-0005-0000-0000-000035000000}"/>
    <cellStyle name="Percent 2 2" xfId="46" xr:uid="{00000000-0005-0000-0000-000036000000}"/>
    <cellStyle name="Percent 2 2 2" xfId="98" xr:uid="{037F840E-90C3-4F95-A1C7-A1807056959A}"/>
    <cellStyle name="Percent 2 3" xfId="63" xr:uid="{00000000-0005-0000-0000-000037000000}"/>
    <cellStyle name="Percent 2 4" xfId="69" xr:uid="{3B4F60B6-740B-465A-9A14-9088E35D2759}"/>
    <cellStyle name="Percent 2 5" xfId="202" xr:uid="{042CDFC5-F7E0-4980-BCB6-0BB029999F7F}"/>
    <cellStyle name="Percent 20" xfId="207" xr:uid="{B7BCACBD-248F-4910-AA46-9CBCF5BE6DA4}"/>
    <cellStyle name="Percent 21" xfId="210" xr:uid="{83FB7A90-E4BF-408A-9379-0520ED60779D}"/>
    <cellStyle name="Percent 3" xfId="47" xr:uid="{00000000-0005-0000-0000-000038000000}"/>
    <cellStyle name="Percent 3 2" xfId="48" xr:uid="{00000000-0005-0000-0000-000039000000}"/>
    <cellStyle name="Percent 3 3" xfId="70" xr:uid="{0C4D0BAC-7EF1-4032-8315-ADE3F851D873}"/>
    <cellStyle name="Percent 3 4" xfId="203" xr:uid="{CE63606C-355A-4B2D-A918-64E0451BC92B}"/>
    <cellStyle name="Percent 4" xfId="49" xr:uid="{00000000-0005-0000-0000-00003A000000}"/>
    <cellStyle name="Percent 41" xfId="23" xr:uid="{00000000-0005-0000-0000-00003B000000}"/>
    <cellStyle name="Percent 41 2" xfId="192" xr:uid="{519F7263-38F2-4141-8686-F532BDA14EC4}"/>
    <cellStyle name="Percent 41 2 2 2" xfId="193" xr:uid="{24619301-88C1-49BA-84D5-CBA33D048558}"/>
    <cellStyle name="Percent 41 3" xfId="194" xr:uid="{9F48616F-D3AC-4DB3-ABF1-5FD0F3790F63}"/>
    <cellStyle name="Percent 5" xfId="50" xr:uid="{00000000-0005-0000-0000-00003C000000}"/>
    <cellStyle name="Percent 5 2" xfId="51" xr:uid="{00000000-0005-0000-0000-00003D000000}"/>
    <cellStyle name="Percent 5 3" xfId="52" xr:uid="{00000000-0005-0000-0000-00003E000000}"/>
    <cellStyle name="Percent 6" xfId="53" xr:uid="{00000000-0005-0000-0000-00003F000000}"/>
    <cellStyle name="Percent 6 2" xfId="54" xr:uid="{00000000-0005-0000-0000-000040000000}"/>
    <cellStyle name="Percent 7" xfId="74" xr:uid="{7DE704D9-AE80-4C17-AF75-C3904E490C68}"/>
    <cellStyle name="Percent 7 2" xfId="110" xr:uid="{A14FAA0E-8D2D-478A-998D-F11F3EF7DB1B}"/>
    <cellStyle name="Percent 7 3" xfId="195" xr:uid="{69DE8214-1CBA-4CE9-BC4F-1ADC3A002CF6}"/>
    <cellStyle name="Percent 8" xfId="79" xr:uid="{151D3D1C-4A7B-41B0-9467-D259FC5D130D}"/>
    <cellStyle name="Percent 8 2" xfId="196" xr:uid="{0D8D1ED9-CA31-4FDF-9A73-723E437AF695}"/>
    <cellStyle name="Percent 9" xfId="86" xr:uid="{5896A3F5-AB22-4BA5-BD8A-D6BBF7FEF03C}"/>
    <cellStyle name="Percent 9 2" xfId="197" xr:uid="{D4DB573D-7C77-49A2-AB3F-BB811BD01AC2}"/>
    <cellStyle name="Percent 9 3" xfId="198" xr:uid="{1AF3C994-EF42-455C-808B-922B94351688}"/>
    <cellStyle name="Style 1" xfId="19" xr:uid="{00000000-0005-0000-0000-000041000000}"/>
    <cellStyle name="Style 1 2" xfId="199" xr:uid="{D57624A0-6967-4FB3-B773-C8C992A6F539}"/>
    <cellStyle name="Style 2" xfId="20"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theme" Target="theme/theme1.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styles" Target="styles.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04REL-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server\Users\skedia\Desktop\MSPGCL%20Main%20Folder\Revised%20True-up%20&amp;%20APR\Workings\Annexure%202_revise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bank/1-Projects%20In%20Hand/DFID/ARR%202003-04/Arr%20Petition%202003-04/For%20Submission/ARR%20Forms%20For%20Submiss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bank\1-Projects%20In%20Hand\DFID\ARR%202003-04\Arr%20Petition%202003-04\For%20Submission\ARR%20Forms%20For%20Submiss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er21\shared%20doc\ARR%202.6%20REV\Performance\PERFORMANCE\ocm\Yearly_perf\OCMJAN2000.xls" TargetMode="External"/></Relationships>
</file>

<file path=xl/externalLinks/_rels/externalLink14.xml.rels><?xml version="1.0" encoding="UTF-8" standalone="yes"?>
<Relationships xmlns="http://schemas.openxmlformats.org/package/2006/relationships"><Relationship Id="rId1" Type="http://schemas.microsoft.com/office/2019/04/relationships/externalLinkLongPath" Target="/Documents%20and%20Settings/anurag/My%20Documents/petitions/Petition%20for%20trans%20ARR.doc/Databank/1-Projects%20In%20Hand/DFID/ARR%202003-04/Arr%20Petition%202003-04/For%20Submission/ARR%20Forms%20For%20Submiss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anurag\My%20Documents\petitions\Petition%20for%20trans%20ARR.doc\Databank\1-Projects%20In%20Hand\DFID\ARR%202003-04\Arr%20Petition%202003-04\For%20Submission\ARR%20Forms%20For%20Submiss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ameer's%20folder/MSEB/Tariff%20Filing%202003-04/Outputs/Models/Working%20Models/old/Dispatch%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ameer's%20folder\MSEB\Tariff%20Filing%202003-04\Outputs\Models\Working%20Models\old\Dispatch%20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Performance\PERFORMANCE\ocm\Yearly_perf\OCMJAN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ch1\EMAIL\Performance\PERFORMANCE\ocm\Yearly_perf\OCMJAN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ID%20Energy/Work/MSPGCL%20True%20Up%20Fy%202010-11/Earlier%20Orders/EXCEL%20MODELS%20FINAL/PwC_MSPGCL_20.12.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ID%20Energy\Work\MSPGCL%20True%20Up%20Fy%202010-11\Earlier%20Orders\EXCEL%20MODELS%20FINAL\PwC_MSPGCL_20.12.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erver\btps%20temp%20data\EFFY\Effy-Cost%20DD\Yearly%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erver\Users\skedia\Documents\MSPGCL%20FY12%20ARR%20Petition%20and%20Model%2031Mar11\ARR%20formats%20SM%2029Mar1940_ol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er126\perf\Performance\PERFORMANCE\CE_FILE\Erai_dam\Water%20_balance_Dec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REL"/>
      <sheetName val="03-04|71"/>
      <sheetName val="03-04|72"/>
      <sheetName val="03-04|74"/>
      <sheetName val="03-04|75"/>
      <sheetName val="03-04|76"/>
      <sheetName val="03-04|77"/>
      <sheetName val="03-04|79"/>
      <sheetName val="03-04|83"/>
      <sheetName val="03-04|Master"/>
      <sheetName val="A 3.7"/>
      <sheetName val="CE"/>
      <sheetName val="201-04REL-Final"/>
      <sheetName val="A_3_7"/>
      <sheetName val="Metro consind updation sheet"/>
      <sheetName val="Dom"/>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
      <sheetName val="po-log - curr. rate"/>
      <sheetName val="teo model"/>
      <sheetName val="A_3_71"/>
      <sheetName val="Metro_consind_updation_sheet"/>
      <sheetName val="BD-Cons-FY_2017-18"/>
      <sheetName val="Cons-_FY_2018-19"/>
      <sheetName val="Cons-Existing-re_comp"/>
      <sheetName val="Re-computation_of_sales-19-_(2)"/>
      <sheetName val="LMV-10_working"/>
      <sheetName val="FY_2017-18_Revenue"/>
      <sheetName val="Discom_wise_Reveneue_FY_2017-18"/>
      <sheetName val="Re-computation_of_sales-19-20"/>
      <sheetName val="po-log_-_curr__rate"/>
      <sheetName val="teo_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Level_qty"/>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 val="F2_1(Bhu)1"/>
      <sheetName val="F2_2(Bhu)1"/>
      <sheetName val="F2_3(Bhu)1"/>
      <sheetName val="F2_6(Bhu)1"/>
      <sheetName val="F3_1(Bhu)1"/>
      <sheetName val="F3_2(Bhu)1"/>
      <sheetName val="F3_3(Bhu)1"/>
      <sheetName val="F5_1(Bhu)1"/>
      <sheetName val="F5_2(Bhu)1"/>
      <sheetName val="F5_3(Bhu)1"/>
      <sheetName val="F5_4(Bhu)1"/>
      <sheetName val="F2_1(Cha)1"/>
      <sheetName val="F2_2(Cha)1"/>
      <sheetName val="F2_3(Cha)1"/>
      <sheetName val="F2_6(Cha)1"/>
      <sheetName val="F3_1(Cha)1"/>
      <sheetName val="F3_2(Cha)1"/>
      <sheetName val="F3_3(Cha)1"/>
      <sheetName val="F5_1(Cha)1"/>
      <sheetName val="F5_2(Cha)1"/>
      <sheetName val="F5_3(Cha)1"/>
      <sheetName val="F5_4(Cha)1"/>
      <sheetName val="F2_1(Kor)1"/>
      <sheetName val="F2_2(Kor)1"/>
      <sheetName val="F2_3(Kor)1"/>
      <sheetName val="F2_6(Kor)1"/>
      <sheetName val="F3_1(Kor)1"/>
      <sheetName val="F3_2(Kor)1"/>
      <sheetName val="F3_3(Kor)1"/>
      <sheetName val="F5_1(Kor)1"/>
      <sheetName val="F5_2(Kor)1"/>
      <sheetName val="F5_3(Kor)1"/>
      <sheetName val="F5_4(Kor)1"/>
      <sheetName val="F2_1(Paras)1"/>
      <sheetName val="F2_2(Paras)1"/>
      <sheetName val="F2_3(Paras)1"/>
      <sheetName val="F2_6(Paras)1"/>
      <sheetName val="F3_1(Paras)1"/>
      <sheetName val="F3_2(Paras)1"/>
      <sheetName val="F3_3(Paras)1"/>
      <sheetName val="F5_1(Paras)1"/>
      <sheetName val="F5_2(Paras)1"/>
      <sheetName val="F5_3(Paras)1"/>
      <sheetName val="F5_4(Paras)1"/>
      <sheetName val="F2_1(Parli)1"/>
      <sheetName val="F2_2(Parli)1"/>
      <sheetName val="F2_3(Parli)1"/>
      <sheetName val="F2_6(Parli)1"/>
      <sheetName val="F3_1(Parli)1"/>
      <sheetName val="F3_2(Parli)1"/>
      <sheetName val="F3_3(Parli)1"/>
      <sheetName val="F5_1(Parli)1"/>
      <sheetName val="F5_2(Parli)1"/>
      <sheetName val="F5_3(Parli)1"/>
      <sheetName val="F5_4(Parli)1"/>
      <sheetName val="F2_1(Kha)1"/>
      <sheetName val="F2_2(Kha)1"/>
      <sheetName val="F2_3(Kha)1"/>
      <sheetName val="F2_6(Kha)1"/>
      <sheetName val="F3_1(Kha)1"/>
      <sheetName val="F3_2(Kha)1"/>
      <sheetName val="F3_3(Kha)1"/>
      <sheetName val="F5_1(Kha)1"/>
      <sheetName val="F5_2(Kha)1"/>
      <sheetName val="F5_3(Kha)1"/>
      <sheetName val="F5_4(Kha)1"/>
      <sheetName val="F2_1(Nasi)1"/>
      <sheetName val="F2_2(Nasi)1"/>
      <sheetName val="F2_3(Nasi)1"/>
      <sheetName val="F2_6(Nasi)1"/>
      <sheetName val="F3_1(Nasi)1"/>
      <sheetName val="F3_2(Nasi)1"/>
      <sheetName val="F3_3(Nasi)1"/>
      <sheetName val="F5_1(Nasi)1"/>
      <sheetName val="F5_2(Nasi)1"/>
      <sheetName val="F5_3(Nasi)1"/>
      <sheetName val="F5_4(Nasi)1"/>
      <sheetName val="F2_1(Uran)1"/>
      <sheetName val="F2_2(Uran)1"/>
      <sheetName val="F2_3(Uran)1"/>
      <sheetName val="F2_6(Uran)1"/>
      <sheetName val="F3_1(Uran)1"/>
      <sheetName val="F3_2(Uran)1"/>
      <sheetName val="F3_3(Uran)1"/>
      <sheetName val="F5_1(Uran)1"/>
      <sheetName val="F5_2(Uran)1"/>
      <sheetName val="F5_3(Uran)1"/>
      <sheetName val="F5_4(Uran)1"/>
      <sheetName val="F2_1(Hydro)1"/>
      <sheetName val="F2_3(Hydro)1"/>
      <sheetName val="F2_4(Hydro)1"/>
      <sheetName val="F2_6(Hydro)1"/>
      <sheetName val="F3_1(Hydro)1"/>
      <sheetName val="F3_2(Hydro)1"/>
      <sheetName val="F3_3(Hydro)1"/>
      <sheetName val="F5_1(Hydro)1"/>
      <sheetName val="F5_2(Hydro)1"/>
      <sheetName val="F5_3(PuneHydro)1"/>
      <sheetName val="F5_4(PuneHydro)1"/>
      <sheetName val="F5_3(NasikHydro)1"/>
      <sheetName val="F5_4(NasikHydro)1"/>
      <sheetName val="F5_3(Koyna)1"/>
      <sheetName val="F5_4(Koyn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form_x0000_"/>
      <sheetName val="04REL"/>
      <sheetName val="Sept "/>
      <sheetName val="7"/>
      <sheetName val="Salient1"/>
      <sheetName val="Labour charges"/>
      <sheetName val="RAJ"/>
      <sheetName val="Feb-06"/>
      <sheetName val="Inputs"/>
      <sheetName val="form"/>
      <sheetName val="form_____________"/>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form_x0000__x0000__x0000__x0000"/>
      <sheetName val="Assumptions"/>
      <sheetName val="form_x005f_x0000__x005f_x0000__x005f_x0000__x0000"/>
      <sheetName val="form_x005f_x0000_"/>
      <sheetName val="form?"/>
      <sheetName val="Ag LF"/>
      <sheetName val="Executive Summary -Thermal"/>
      <sheetName val="Stationwise Thermal &amp; Hydel Gen"/>
      <sheetName val="TWELVE"/>
      <sheetName val="form_"/>
      <sheetName val="all"/>
      <sheetName val="overall"/>
      <sheetName val="Data base"/>
      <sheetName val="form_x005f_x005f_x005f_x0000__x005f_x005f_x005f_x0000__"/>
      <sheetName val="form_x005f_x005f_x005f_x0000_"/>
      <sheetName val="form_x005f_x005f_x005f_x005f_x005f_x005f_x005f_x0000__x"/>
      <sheetName val="form_x005f_x005f_x005f_x005f_x005f_x005f_x005f_x0000_"/>
      <sheetName val="Key_Assume_Common"/>
      <sheetName val="Discom Details"/>
      <sheetName val="data"/>
      <sheetName val="First information "/>
      <sheetName val="annexture-g1"/>
      <sheetName val="PART C"/>
      <sheetName val="Sheet1"/>
      <sheetName val="Part A General"/>
      <sheetName val="feasibility require"/>
      <sheetName val="MOD - Corrected -As per SLD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Assumptions"/>
      <sheetName val="A 3.7"/>
      <sheetName val="water_bal"/>
      <sheetName val="Daily_input"/>
      <sheetName val="Daily_report"/>
      <sheetName val="A_3_7"/>
      <sheetName val="Clause 9"/>
      <sheetName val="Daily_input1"/>
      <sheetName val="Daily_report1"/>
      <sheetName val="A_3_71"/>
      <sheetName val="Clause_9"/>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sheetData sheetId="21" refreshError="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Loan Position"/>
      <sheetName val=""/>
      <sheetName val="D-3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ERY"/>
      <sheetName val="HLY -99-00"/>
      <sheetName val="Hydro Data"/>
      <sheetName val="HLY0001"/>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 val="FIX DATA"/>
      <sheetName val="Inputs"/>
      <sheetName val="Feb-06"/>
      <sheetName val="04REL"/>
      <sheetName val="RAJ"/>
      <sheetName val="all"/>
      <sheetName val="Data"/>
      <sheetName val="17(B) govt"/>
      <sheetName val="DLC"/>
      <sheetName val="1.1 Trs. Fai."/>
      <sheetName val="feasibility require"/>
      <sheetName val="Sheet1"/>
      <sheetName val="STN WISE EMR"/>
      <sheetName val="Dom"/>
      <sheetName val="MO EY"/>
      <sheetName val="MO C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04REL"/>
      <sheetName val="Daily_input"/>
      <sheetName val="Daily_report"/>
      <sheetName val="Instruction Sheet"/>
      <sheetName val="Daily_input1"/>
      <sheetName val="Daily_report1"/>
      <sheetName val="Instruction_Sheet"/>
      <sheetName val="SUMMERY"/>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refreshError="1"/>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Inputs &amp; Assumptions"/>
      <sheetName val="Daily_input"/>
      <sheetName val="Daily_report"/>
      <sheetName val="Title"/>
      <sheetName val="CAPI_01-02"/>
      <sheetName val="Daily_input1"/>
      <sheetName val="Daily_report1"/>
      <sheetName val="Inputs_&amp;_Assumption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refreshError="1"/>
      <sheetData sheetId="21" refreshError="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l.40"/>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20"/>
      <sheetName val="SS-Cost"/>
      <sheetName val="Addl.63 (2)"/>
      <sheetName val="Addl_40"/>
      <sheetName val="Unit_Rate"/>
      <sheetName val="160MVA_Addl"/>
      <sheetName val="220KV_FB"/>
      <sheetName val="315MVA_Addl"/>
      <sheetName val="Addl_401"/>
      <sheetName val="Addl_20"/>
      <sheetName val="Addl_63_(2)"/>
      <sheetName val="132kv DCDS"/>
      <sheetName val=""/>
      <sheetName val="04REL"/>
      <sheetName val="A 3_7"/>
      <sheetName val="data"/>
      <sheetName val="Data base Feb 09"/>
      <sheetName val="grid"/>
      <sheetName val="Salient1"/>
      <sheetName val="Cat_Ser_load"/>
      <sheetName val="PACK (B)"/>
      <sheetName val="Unit_Rate1"/>
      <sheetName val="160MVA_Addl1"/>
      <sheetName val="220KV_FB1"/>
      <sheetName val="315MVA_Addl1"/>
      <sheetName val="Addl_402"/>
      <sheetName val="Addl_201"/>
      <sheetName val="Addl_63_(2)1"/>
      <sheetName val="A_3_7"/>
      <sheetName val="Data_base_Feb_09"/>
      <sheetName val="132kv_DCDS"/>
      <sheetName val="PACK_(B)"/>
      <sheetName val="Sheet1"/>
      <sheetName val="STN WISE EMR"/>
      <sheetName val="Inputs"/>
      <sheetName val="A"/>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Calculations 1"/>
      <sheetName val="Consolidated"/>
      <sheetName val="Input"/>
      <sheetName val="Phasing 1"/>
      <sheetName val="Results"/>
      <sheetName val="Coal-Cal"/>
      <sheetName val="Introduction"/>
      <sheetName val="Calculations 2"/>
      <sheetName val="Calculations 3"/>
      <sheetName val="Calculations 4"/>
      <sheetName val="Calculations 5"/>
      <sheetName val="Phasing 3"/>
      <sheetName val="Dom"/>
      <sheetName val="R_Hrs_ Since Comm"/>
      <sheetName val="ATP"/>
      <sheetName val="UK"/>
      <sheetName val="Scheme Area Details_Block__ C2"/>
      <sheetName val="New33KVSS_E3"/>
      <sheetName val="Prop aug of Ex 33KVSS_E3a"/>
      <sheetName val="Adj.TB"/>
      <sheetName val="Sheet2"/>
      <sheetName val="Citrix"/>
      <sheetName val="Instruction Sheet"/>
      <sheetName val="Coalmine"/>
      <sheetName val="Basis"/>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TRP"/>
      <sheetName val="Scheme_Area_Details_Block___C2"/>
      <sheetName val="Prop_aug_of_Ex_33KVSS_E3a"/>
      <sheetName val="R_Hrs__Since_Comm"/>
      <sheetName val="Scheme_Area_Details_Block___C21"/>
      <sheetName val="Prop_aug_of_Ex_33KVSS_E3a1"/>
      <sheetName val="STN_WISE_EMR"/>
      <sheetName val="Report"/>
      <sheetName val="Latest revised Cost Estimates f"/>
      <sheetName val="Form 6"/>
      <sheetName val="220Kv (2)"/>
      <sheetName val="220Kv"/>
      <sheetName val="QOSWS "/>
      <sheetName val="QFC"/>
      <sheetName val="DE"/>
      <sheetName val="J"/>
      <sheetName val="BOQ"/>
      <sheetName val="CE"/>
      <sheetName val="BSPL"/>
      <sheetName val="Addl_405"/>
      <sheetName val="Unit_Rate4"/>
      <sheetName val="160MVA_Addl4"/>
      <sheetName val="220KV_FB4"/>
      <sheetName val="315MVA_Addl4"/>
      <sheetName val="Addl_204"/>
      <sheetName val="Addl_63_(2)4"/>
      <sheetName val="132kv_DCDS3"/>
      <sheetName val="A_3_73"/>
      <sheetName val="Data_base_Feb_093"/>
      <sheetName val="PACK_(B)1"/>
      <sheetName val="STN_WISE_EMR1"/>
      <sheetName val="Input_sheet"/>
      <sheetName val="BPlan_Energy_Balance_Table"/>
      <sheetName val="Approved_Energy_Balance"/>
      <sheetName val="Energy_Requirement"/>
      <sheetName val="CE_PPA_Installed_"/>
      <sheetName val="Table_for_Business_Plan"/>
      <sheetName val="UPERC_approved_"/>
      <sheetName val="May19_"/>
      <sheetName val="July-19_"/>
      <sheetName val="Sep-19_"/>
      <sheetName val="PP_FY_2019-20_(Monthly)"/>
      <sheetName val="PLF_Computation"/>
      <sheetName val="FY_19_20"/>
      <sheetName val="FY_20_21"/>
      <sheetName val="FY_21_22"/>
      <sheetName val="FY_22_23"/>
      <sheetName val="FY_23_24"/>
      <sheetName val="FY_24_25"/>
      <sheetName val="Table_for_Petition"/>
      <sheetName val="Calculations_1"/>
      <sheetName val="Phasing_1"/>
      <sheetName val="Calculations_2"/>
      <sheetName val="Calculations_3"/>
      <sheetName val="Calculations_4"/>
      <sheetName val="Calculations_5"/>
      <sheetName val="Phasing_3"/>
      <sheetName val="R_Hrs__Since_Comm1"/>
      <sheetName val="Scheme_Area_Details_Block___C22"/>
      <sheetName val="Prop_aug_of_Ex_33KVSS_E3a2"/>
      <sheetName val="Adj_TB"/>
      <sheetName val="Instruction_Sheet"/>
      <sheetName val="dpc_cost"/>
      <sheetName val="Survey_Status_2"/>
      <sheetName val="%_of_Elect"/>
      <sheetName val="cap_all"/>
      <sheetName val="Lead_Statement"/>
      <sheetName val="Detailed_Estimate"/>
      <sheetName val="Labour_charges"/>
      <sheetName val="Latest_revised_Cost_Estimates_f"/>
      <sheetName val="Form_6"/>
      <sheetName val="220Kv_(2)"/>
      <sheetName val="QOSWS_"/>
      <sheetName val="BREAKUP OF O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refreshError="1"/>
      <sheetData sheetId="174" refreshError="1"/>
      <sheetData sheetId="175" refreshError="1"/>
      <sheetData sheetId="176" refreshError="1"/>
      <sheetData sheetId="177" refreshError="1"/>
      <sheetData sheetId="178"/>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inloss computation FY 09-10"/>
      <sheetName val="Summary"/>
      <sheetName val="Issue sheet"/>
      <sheetName val="Tables_True up FY 09-10"/>
      <sheetName val="Assumption_PwC"/>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_PwC"/>
      <sheetName val="Assumptions"/>
      <sheetName val="Gainloss computation FY 09-10"/>
      <sheetName val="Summary"/>
      <sheetName val="Issue sheet"/>
      <sheetName val="Tables_True up FY 09-10"/>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01"/>
      <sheetName val="Temp"/>
      <sheetName val="Sheet1"/>
      <sheetName val="1997-1998"/>
      <sheetName val="1998-1999"/>
      <sheetName val="1999-2000"/>
      <sheetName val="2001-02"/>
      <sheetName val="2002-03"/>
      <sheetName val="2003-04"/>
      <sheetName val="2004-05"/>
      <sheetName val="2005-06"/>
      <sheetName val="2006-07"/>
      <sheetName val="2007-08"/>
      <sheetName val="2008-09"/>
      <sheetName val="2009-10"/>
      <sheetName val="2010-11"/>
      <sheetName val="2011-12"/>
      <sheetName val="2012-13"/>
      <sheetName val="2013-14"/>
      <sheetName val="2014-15"/>
      <sheetName val="2014-15-U-2ESD"/>
      <sheetName val="Yly-Gen"/>
      <sheetName val="Data"/>
      <sheetName val="Since Comm,"/>
      <sheetName val="History Data"/>
      <sheetName val="Gen.Data 87-97"/>
      <sheetName val="C.F., C.V. &amp; H.R."/>
      <sheetName val="Gen., Coal Factor, Heat Rate"/>
      <sheetName val="SAP-Data"/>
      <sheetName val="Assumptions"/>
      <sheetName val="Assumption_PwC"/>
      <sheetName val="Since_Comm,"/>
      <sheetName val="History_Data"/>
      <sheetName val="Gen_Data_87-97"/>
      <sheetName val="C_F_,_C_V__&amp;_H_R_"/>
      <sheetName val="Gen_,_Coal_Factor,_Heat_Rate"/>
      <sheetName val="Since_Comm,1"/>
      <sheetName val="History_Data1"/>
      <sheetName val="Gen_Data_87-971"/>
      <sheetName val="C_F_,_C_V__&amp;_H_R_1"/>
      <sheetName val="Gen_,_Coal_Factor,_Heat_Rat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2000-01"/>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 val="F2_1(Bhu)1"/>
      <sheetName val="F2_2(Bhu)1"/>
      <sheetName val="F2_3(Bhu)1"/>
      <sheetName val="F2_6(Bhu)1"/>
      <sheetName val="F3_1(Bhu)1"/>
      <sheetName val="F3_2(Bhu)1"/>
      <sheetName val="F3_3(Bhu)1"/>
      <sheetName val="F5_1(Bhu)1"/>
      <sheetName val="F5_2(Bhu)1"/>
      <sheetName val="F5_3(Bhu)1"/>
      <sheetName val="F5_4(Bhu)1"/>
      <sheetName val="F2_1(Cha)1"/>
      <sheetName val="F2_2(Cha)1"/>
      <sheetName val="F2_3(Cha)1"/>
      <sheetName val="F2_6(Cha)1"/>
      <sheetName val="F3_1(Cha)1"/>
      <sheetName val="F3_2(Cha)1"/>
      <sheetName val="F3_3(Cha)1"/>
      <sheetName val="F5_1(Cha)1"/>
      <sheetName val="F5_2(Cha)1"/>
      <sheetName val="F5_3(Cha)1"/>
      <sheetName val="F5_4(Cha)1"/>
      <sheetName val="F2_1(Kor)1"/>
      <sheetName val="F2_2(Kor)1"/>
      <sheetName val="F2_3(Kor)1"/>
      <sheetName val="F2_6(Kor)1"/>
      <sheetName val="F3_1(Kor)1"/>
      <sheetName val="F3_2(Kor)1"/>
      <sheetName val="F3_3(Kor)1"/>
      <sheetName val="F5_1(Kor)1"/>
      <sheetName val="F5_2(Kor)1"/>
      <sheetName val="F5_3(Kor)1"/>
      <sheetName val="F5_4(Kor)1"/>
      <sheetName val="F2_1(Paras)1"/>
      <sheetName val="F2_2(Paras)1"/>
      <sheetName val="F2_3(Paras)1"/>
      <sheetName val="F2_6(Paras)1"/>
      <sheetName val="F3_1(Paras)1"/>
      <sheetName val="F3_2(Paras)1"/>
      <sheetName val="F3_3(Paras)1"/>
      <sheetName val="F5_1(Paras)1"/>
      <sheetName val="F5_2(Paras)1"/>
      <sheetName val="F5_3(Paras)1"/>
      <sheetName val="F5_4(Paras)1"/>
      <sheetName val="F2_1(Parli)1"/>
      <sheetName val="F2_2(Parli)1"/>
      <sheetName val="F2_3(Parli)1"/>
      <sheetName val="F2_6(Parli)1"/>
      <sheetName val="F3_1(Parli)1"/>
      <sheetName val="F3_2(Parli)1"/>
      <sheetName val="F3_3(Parli)1"/>
      <sheetName val="F5_1(Parli)1"/>
      <sheetName val="F5_2(Parli)1"/>
      <sheetName val="F5_3(Parli)1"/>
      <sheetName val="F5_4(Parli)1"/>
      <sheetName val="F2_1(Kha)1"/>
      <sheetName val="F2_2(Kha)1"/>
      <sheetName val="F2_3(Kha)1"/>
      <sheetName val="F2_6(Kha)1"/>
      <sheetName val="F3_1(Kha)1"/>
      <sheetName val="F3_2(Kha)1"/>
      <sheetName val="F3_3(Kha)1"/>
      <sheetName val="F5_1(Kha)1"/>
      <sheetName val="F5_2(Kha)1"/>
      <sheetName val="F5_3(Kha)1"/>
      <sheetName val="F5_4(Kha)1"/>
      <sheetName val="F2_1(Nasi)1"/>
      <sheetName val="F2_2(Nasi)1"/>
      <sheetName val="F2_3(Nasi)1"/>
      <sheetName val="F2_6(Nasi)1"/>
      <sheetName val="F3_1(Nasi)1"/>
      <sheetName val="F3_2(Nasi)1"/>
      <sheetName val="F3_3(Nasi)1"/>
      <sheetName val="F5_1(Nasi)1"/>
      <sheetName val="F5_2(Nasi)1"/>
      <sheetName val="F5_3(Nasi)1"/>
      <sheetName val="F5_4(Nasi)1"/>
      <sheetName val="F2_1(Uran)1"/>
      <sheetName val="F2_2(Uran)1"/>
      <sheetName val="F2_3(Uran)1"/>
      <sheetName val="F2_6(Uran)1"/>
      <sheetName val="F3_1(Uran)1"/>
      <sheetName val="F3_2(Uran)1"/>
      <sheetName val="F3_3(Uran)1"/>
      <sheetName val="F5_1(Uran)1"/>
      <sheetName val="F5_2(Uran)1"/>
      <sheetName val="F5_3(Uran)1"/>
      <sheetName val="F5_4(Uran)1"/>
      <sheetName val="F2_1(Hydro)1"/>
      <sheetName val="F2_3(Hydro)1"/>
      <sheetName val="F2_4(Hydro)1"/>
      <sheetName val="F2_6(Hydro)1"/>
      <sheetName val="F3_1(Hydro)1"/>
      <sheetName val="F3_2(Hydro)1"/>
      <sheetName val="F3_3(Hydro)1"/>
      <sheetName val="F5_1(Hydro)1"/>
      <sheetName val="F5_2(Hydro)1"/>
      <sheetName val="F5_3(PuneHydro)1"/>
      <sheetName val="F5_4(PuneHydro)1"/>
      <sheetName val="F5_3(NasikHydro)1"/>
      <sheetName val="F5_4(NasikHydro)1"/>
      <sheetName val="F5_3(Koyna)1"/>
      <sheetName val="F5_4(Koyn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c cost"/>
      <sheetName val="SUMMERY"/>
      <sheetName val="HLY -99-00"/>
      <sheetName val="Hydro Data"/>
      <sheetName val="HLY0001"/>
      <sheetName val="mnthly-chrt"/>
      <sheetName val="purchase"/>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HLY_-99-00"/>
      <sheetName val="Hydro_Data"/>
      <sheetName val="dpc_cost"/>
      <sheetName val="Plant_Availability"/>
      <sheetName val="Bombaybazar(Remark)"/>
      <sheetName val="Assumptions"/>
      <sheetName val="Discom Details"/>
      <sheetName val="A 3.7"/>
      <sheetName val="C.S.GENERATION"/>
      <sheetName val="Cash Flow"/>
      <sheetName val="Sch-3"/>
      <sheetName val="HLY_-99-002"/>
      <sheetName val="Hydro_Data2"/>
      <sheetName val="dpc_cost2"/>
      <sheetName val="Plant_Availability2"/>
      <sheetName val="HLY_-99-001"/>
      <sheetName val="Hydro_Data1"/>
      <sheetName val="dpc_cost1"/>
      <sheetName val="Plant_Availability1"/>
      <sheetName val="all"/>
      <sheetName val="04rel"/>
      <sheetName val="HLY_-99-003"/>
      <sheetName val="Hydro_Data3"/>
      <sheetName val="dpc_cost3"/>
      <sheetName val="Plant_Availability3"/>
      <sheetName val="Discom_Details"/>
      <sheetName val="A_3_7"/>
      <sheetName val="C_S_GENERATION"/>
      <sheetName val="Cash_Flow"/>
      <sheetName val="RAJ"/>
      <sheetName val="DCL AUG 12"/>
      <sheetName val="Index Feb 09"/>
      <sheetName val="Data base Feb 09"/>
      <sheetName val="General"/>
      <sheetName val="7.11 p1"/>
      <sheetName val="strain"/>
      <sheetName val="data"/>
      <sheetName val="HLY_-99-004"/>
      <sheetName val="Hydro_Data4"/>
      <sheetName val="dpc_cost4"/>
      <sheetName val="Plant_Availability4"/>
      <sheetName val="Discom_Details1"/>
      <sheetName val="A_3_71"/>
      <sheetName val="C_S_GENERATION1"/>
      <sheetName val="Cash_Flow1"/>
      <sheetName val="7_11_p1"/>
      <sheetName val="7_11_p11"/>
      <sheetName val="Discom_Details2"/>
      <sheetName val="A_3_72"/>
      <sheetName val="C_S_GENERATION2"/>
      <sheetName val="7_11_p12"/>
      <sheetName val="Form-B"/>
      <sheetName val="tb2002 linked"/>
      <sheetName val="sum"/>
      <sheetName val="DPT-PW"/>
      <sheetName val="Factor_sheet"/>
      <sheetName val="Energy_bal"/>
      <sheetName val="4 Annex 1 Basic rate"/>
      <sheetName val="SCF"/>
      <sheetName val="Report"/>
      <sheetName val="Dispatch 2.0"/>
      <sheetName val="DETAILED  BOQ"/>
      <sheetName val="sep01"/>
      <sheetName val="TRP"/>
      <sheetName val="Dom"/>
      <sheetName val="Inputs"/>
      <sheetName val="Feb-06"/>
      <sheetName val="17(B) govt"/>
      <sheetName val="NOPAT_VDF"/>
      <sheetName val="Invested capital_VDF"/>
      <sheetName val="Conductor Size"/>
      <sheetName val="Addl.40"/>
      <sheetName val="DETAILED__BOQ"/>
      <sheetName val="DCL_AUG_12"/>
      <sheetName val="Index_Feb_09"/>
      <sheetName val="Data_base_Feb_09"/>
      <sheetName val="Dispatch_2_0"/>
      <sheetName val="Addl_40"/>
      <sheetName val="Sheet2"/>
      <sheetName val="FT-05-02IsoBOM"/>
      <sheetName val="1"/>
      <sheetName val="Code"/>
      <sheetName val="Design"/>
      <sheetName val="Coalmine"/>
      <sheetName val="Staff Acco."/>
      <sheetName val="BLR 1"/>
      <sheetName val="GEN"/>
      <sheetName val="GAS"/>
      <sheetName val="DEAE"/>
      <sheetName val="BLR2"/>
      <sheetName val="BLR3"/>
      <sheetName val="BLR4"/>
      <sheetName val="BLR5"/>
      <sheetName val="DEM"/>
      <sheetName val="SAM"/>
      <sheetName val="CHEM"/>
      <sheetName val="COP"/>
      <sheetName val="CFL-KIM"/>
      <sheetName val="XLR_NoRangeSheet"/>
      <sheetName val="B&amp;CM LIST"/>
      <sheetName val="Licensee Information"/>
      <sheetName val="dpc_cost5"/>
      <sheetName val="HLY_-99-005"/>
      <sheetName val="Hydro_Data5"/>
      <sheetName val="Plant_Availability5"/>
      <sheetName val="Discom_Details3"/>
      <sheetName val="A_3_73"/>
      <sheetName val="C_S_GENERATION3"/>
      <sheetName val="Cash_Flow2"/>
      <sheetName val="DCL_AUG_121"/>
      <sheetName val="Index_Feb_091"/>
      <sheetName val="Data_base_Feb_091"/>
      <sheetName val="7_11_p13"/>
      <sheetName val="tb2002_linked"/>
      <sheetName val="4_Annex_1_Basic_rate"/>
      <sheetName val="Dispatch_2_01"/>
      <sheetName val="DETAILED__BOQ1"/>
      <sheetName val="17(B)_govt"/>
      <sheetName val="Invested_capital_VDF"/>
      <sheetName val="Conductor_Size"/>
      <sheetName val="Addl_401"/>
      <sheetName val="Staff_Acco_"/>
      <sheetName val="BLR_1"/>
      <sheetName val="B&amp;CM_LIST"/>
      <sheetName val="Licensee_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vel_qty"/>
      <sheetName val="Nov_04"/>
      <sheetName val="Dec_04"/>
      <sheetName val="Assumptions"/>
      <sheetName val="dpc cost"/>
      <sheetName val="SUMMERY"/>
      <sheetName val="dpc_cost"/>
      <sheetName val="OCM3"/>
      <sheetName val="deduction"/>
      <sheetName val="addition"/>
      <sheetName val="sep01"/>
      <sheetName val="NP"/>
      <sheetName val="PP"/>
      <sheetName val="dpc_cost1"/>
      <sheetName val="Water _balance_Dec0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Tirpude, Nirbhay" id="{2E213E26-87AD-4C1D-922A-808A8337EC6C}" userId="S::ntirpude@deloitte.com::eab7cd42-3d4f-42ab-82aa-064bc19b59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8" dT="2024-11-23T08:05:44.08" personId="{2E213E26-87AD-4C1D-922A-808A8337EC6C}" id="{6ADDAFC1-7F95-46F0-A1E8-A990631BBB4A}">
    <text>Cross Check for the reason of difference in Amount Billed</text>
  </threadedComment>
  <threadedComment ref="F36" dT="2024-11-23T08:05:44.08" personId="{2E213E26-87AD-4C1D-922A-808A8337EC6C}" id="{FC7A93AD-B7AC-43C0-889E-C72620E58FC5}">
    <text>Cross Check for the reason of difference in Amount Billed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merc.gov.in/wp-content/uploads/2023/03/Order-234-of-2022-1.pdf" TargetMode="External"/><Relationship Id="rId3" Type="http://schemas.openxmlformats.org/officeDocument/2006/relationships/hyperlink" Target="https://merc.gov.in/wp-content/uploads/2023/03/Order-237-of-2022.pdf" TargetMode="External"/><Relationship Id="rId7" Type="http://schemas.openxmlformats.org/officeDocument/2006/relationships/hyperlink" Target="https://merc.gov.in/wp-content/uploads/2023/03/Order-213-of-2022.pdf" TargetMode="External"/><Relationship Id="rId2" Type="http://schemas.openxmlformats.org/officeDocument/2006/relationships/hyperlink" Target="https://merc.gov.in/wp-content/uploads/2023/03/Order-238-of-2022.pdf" TargetMode="External"/><Relationship Id="rId1" Type="http://schemas.openxmlformats.org/officeDocument/2006/relationships/hyperlink" Target="https://merc.gov.in/wp-content/uploads/2023/03/Order-232-of-2022.pdf" TargetMode="External"/><Relationship Id="rId6" Type="http://schemas.openxmlformats.org/officeDocument/2006/relationships/hyperlink" Target="https://merc.gov.in/wp-content/uploads/2023/03/Order-217-of-2022-1.pdf" TargetMode="External"/><Relationship Id="rId5" Type="http://schemas.openxmlformats.org/officeDocument/2006/relationships/hyperlink" Target="https://merc.gov.in/wp-content/uploads/2023/03/Order-230-of-2022.pdf" TargetMode="External"/><Relationship Id="rId4" Type="http://schemas.openxmlformats.org/officeDocument/2006/relationships/hyperlink" Target="https://merc.gov.in/wp-content/uploads/2023/03/Order-224-of-2022.pdf" TargetMode="External"/><Relationship Id="rId9"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M15"/>
  <sheetViews>
    <sheetView showGridLines="0" tabSelected="1" zoomScaleNormal="100" zoomScaleSheetLayoutView="110" workbookViewId="0"/>
  </sheetViews>
  <sheetFormatPr defaultColWidth="9.140625" defaultRowHeight="13.9"/>
  <cols>
    <col min="1" max="1" width="6.28515625" style="3" customWidth="1"/>
    <col min="2" max="2" width="7" style="27" customWidth="1"/>
    <col min="3" max="3" width="72.85546875" style="3" customWidth="1"/>
    <col min="4" max="4" width="19.7109375" style="3" customWidth="1"/>
    <col min="5" max="13" width="18.7109375" style="3" customWidth="1"/>
    <col min="14" max="16384" width="9.140625" style="3"/>
  </cols>
  <sheetData>
    <row r="1" spans="2:13" ht="17.25" customHeight="1"/>
    <row r="2" spans="2:13" ht="15.6">
      <c r="B2" s="397" t="s">
        <v>0</v>
      </c>
      <c r="C2" s="397"/>
      <c r="D2" s="397"/>
      <c r="E2" s="13"/>
      <c r="F2" s="13"/>
      <c r="G2" s="13"/>
      <c r="H2" s="13"/>
      <c r="I2" s="13"/>
      <c r="J2" s="13"/>
      <c r="K2" s="13"/>
      <c r="L2" s="13"/>
      <c r="M2" s="13"/>
    </row>
    <row r="3" spans="2:13" s="1" customFormat="1" ht="15" customHeight="1">
      <c r="B3" s="398" t="s">
        <v>1</v>
      </c>
      <c r="C3" s="398"/>
      <c r="D3" s="398"/>
      <c r="E3" s="13"/>
      <c r="F3" s="13"/>
      <c r="G3" s="13"/>
      <c r="H3" s="13"/>
      <c r="I3" s="13"/>
      <c r="J3" s="13"/>
      <c r="K3" s="13"/>
      <c r="L3" s="13"/>
      <c r="M3" s="13"/>
    </row>
    <row r="4" spans="2:13" ht="15.6">
      <c r="B4" s="28"/>
      <c r="C4" s="14"/>
      <c r="D4" s="14"/>
      <c r="E4" s="14"/>
      <c r="F4" s="14"/>
      <c r="G4" s="14"/>
      <c r="H4" s="14"/>
      <c r="I4" s="14"/>
      <c r="J4" s="14"/>
      <c r="K4" s="14"/>
      <c r="L4" s="14"/>
      <c r="M4" s="14"/>
    </row>
    <row r="5" spans="2:13" ht="15.6">
      <c r="B5" s="28"/>
      <c r="C5" s="14"/>
      <c r="D5" s="14"/>
      <c r="E5" s="14"/>
      <c r="F5" s="14"/>
      <c r="G5" s="14"/>
      <c r="H5" s="14"/>
      <c r="I5" s="14"/>
      <c r="J5" s="14"/>
      <c r="K5" s="14"/>
      <c r="L5" s="15"/>
      <c r="M5" s="14"/>
    </row>
    <row r="6" spans="2:13" ht="12.75" customHeight="1">
      <c r="B6" s="399" t="s">
        <v>2</v>
      </c>
      <c r="C6" s="401" t="s">
        <v>3</v>
      </c>
      <c r="D6" s="401" t="s">
        <v>4</v>
      </c>
    </row>
    <row r="7" spans="2:13" ht="15" customHeight="1">
      <c r="B7" s="399"/>
      <c r="C7" s="401"/>
      <c r="D7" s="401"/>
    </row>
    <row r="8" spans="2:13">
      <c r="B8" s="400"/>
      <c r="C8" s="402"/>
      <c r="D8" s="402"/>
    </row>
    <row r="9" spans="2:13" ht="18" customHeight="1">
      <c r="B9" s="29">
        <v>1</v>
      </c>
      <c r="C9" s="26" t="s">
        <v>5</v>
      </c>
      <c r="D9" s="64" t="s">
        <v>6</v>
      </c>
    </row>
    <row r="10" spans="2:13" ht="15.95" customHeight="1">
      <c r="B10" s="29">
        <f>B9+1</f>
        <v>2</v>
      </c>
      <c r="C10" s="54" t="s">
        <v>7</v>
      </c>
      <c r="D10" s="64" t="s">
        <v>8</v>
      </c>
    </row>
    <row r="11" spans="2:13" ht="18" customHeight="1">
      <c r="B11" s="29">
        <f t="shared" ref="B11:B14" si="0">B10+1</f>
        <v>3</v>
      </c>
      <c r="C11" s="26" t="s">
        <v>9</v>
      </c>
      <c r="D11" s="64" t="s">
        <v>10</v>
      </c>
    </row>
    <row r="12" spans="2:13" ht="18" customHeight="1">
      <c r="B12" s="29">
        <f t="shared" si="0"/>
        <v>4</v>
      </c>
      <c r="C12" s="26" t="s">
        <v>11</v>
      </c>
      <c r="D12" s="64" t="s">
        <v>12</v>
      </c>
    </row>
    <row r="13" spans="2:13" ht="33.75" customHeight="1">
      <c r="B13" s="29">
        <f t="shared" si="0"/>
        <v>5</v>
      </c>
      <c r="C13" s="54" t="s">
        <v>13</v>
      </c>
      <c r="D13" s="64" t="s">
        <v>14</v>
      </c>
    </row>
    <row r="14" spans="2:13" ht="33" customHeight="1">
      <c r="B14" s="29">
        <f t="shared" si="0"/>
        <v>6</v>
      </c>
      <c r="C14" s="54" t="s">
        <v>15</v>
      </c>
      <c r="D14" s="64" t="s">
        <v>16</v>
      </c>
    </row>
    <row r="15" spans="2:13" ht="15.6">
      <c r="B15" s="29">
        <v>7</v>
      </c>
      <c r="C15" s="54" t="s">
        <v>17</v>
      </c>
      <c r="D15" s="64" t="s">
        <v>18</v>
      </c>
    </row>
  </sheetData>
  <mergeCells count="5">
    <mergeCell ref="B2:D2"/>
    <mergeCell ref="B3:D3"/>
    <mergeCell ref="B6:B8"/>
    <mergeCell ref="C6:C8"/>
    <mergeCell ref="D6:D8"/>
  </mergeCells>
  <phoneticPr fontId="0" type="noConversion"/>
  <pageMargins left="1.02" right="0.25" top="1" bottom="1" header="0.25" footer="0.25"/>
  <pageSetup paperSize="9" scale="82" orientation="portrait" r:id="rId1"/>
  <headerFooter alignWithMargins="0">
    <oddHeader>&amp;F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X21"/>
  <sheetViews>
    <sheetView showGridLines="0" zoomScale="81" zoomScaleNormal="62" zoomScaleSheetLayoutView="75" workbookViewId="0">
      <selection activeCell="D10" sqref="D10:M19"/>
    </sheetView>
  </sheetViews>
  <sheetFormatPr defaultColWidth="9.140625" defaultRowHeight="13.9"/>
  <cols>
    <col min="1" max="1" width="6.85546875" style="16" customWidth="1"/>
    <col min="2" max="2" width="10.42578125" style="30" bestFit="1" customWidth="1"/>
    <col min="3" max="3" width="36.42578125" style="34" customWidth="1"/>
    <col min="4" max="14" width="17" style="16" customWidth="1"/>
    <col min="15" max="16384" width="9.140625" style="16"/>
  </cols>
  <sheetData>
    <row r="2" spans="1:24" ht="15.6">
      <c r="A2" s="409" t="s">
        <v>19</v>
      </c>
      <c r="B2" s="409"/>
      <c r="C2" s="409"/>
      <c r="D2" s="409"/>
      <c r="E2" s="409"/>
      <c r="F2" s="409"/>
      <c r="G2" s="409"/>
      <c r="H2" s="409"/>
      <c r="I2" s="409"/>
      <c r="J2" s="409"/>
      <c r="K2" s="409"/>
      <c r="L2" s="409"/>
      <c r="M2" s="409"/>
      <c r="N2" s="409"/>
      <c r="O2" s="57"/>
      <c r="P2" s="57"/>
      <c r="Q2" s="57"/>
      <c r="R2" s="57"/>
      <c r="S2" s="57"/>
      <c r="T2" s="57"/>
      <c r="U2" s="57"/>
      <c r="V2" s="57"/>
      <c r="W2" s="57"/>
      <c r="X2" s="57"/>
    </row>
    <row r="3" spans="1:24" s="17" customFormat="1" ht="15.6">
      <c r="A3" s="410" t="s">
        <v>1</v>
      </c>
      <c r="B3" s="410"/>
      <c r="C3" s="410"/>
      <c r="D3" s="410"/>
      <c r="E3" s="410"/>
      <c r="F3" s="410"/>
      <c r="G3" s="410"/>
      <c r="H3" s="410"/>
      <c r="I3" s="410"/>
      <c r="J3" s="410"/>
      <c r="K3" s="410"/>
      <c r="L3" s="410"/>
      <c r="M3" s="410"/>
      <c r="N3" s="410"/>
      <c r="O3" s="58"/>
      <c r="P3" s="58"/>
      <c r="Q3" s="58"/>
      <c r="R3" s="58"/>
      <c r="S3" s="58"/>
      <c r="T3" s="58"/>
      <c r="U3" s="58"/>
      <c r="V3" s="58"/>
      <c r="W3" s="58"/>
      <c r="X3" s="58"/>
    </row>
    <row r="4" spans="1:24" s="17" customFormat="1" ht="15.6">
      <c r="A4" s="409" t="s">
        <v>211</v>
      </c>
      <c r="B4" s="409"/>
      <c r="C4" s="409"/>
      <c r="D4" s="409"/>
      <c r="E4" s="409"/>
      <c r="F4" s="409"/>
      <c r="G4" s="409"/>
      <c r="H4" s="409"/>
      <c r="I4" s="409"/>
      <c r="J4" s="409"/>
      <c r="K4" s="409"/>
      <c r="L4" s="409"/>
      <c r="M4" s="409"/>
      <c r="N4" s="409"/>
      <c r="O4" s="57"/>
      <c r="P4" s="57"/>
      <c r="Q4" s="57"/>
      <c r="R4" s="57"/>
      <c r="S4" s="57"/>
      <c r="T4" s="57"/>
      <c r="U4" s="57"/>
      <c r="V4" s="57"/>
      <c r="W4" s="57"/>
      <c r="X4" s="57"/>
    </row>
    <row r="5" spans="1:24" s="17" customFormat="1" ht="15.6">
      <c r="A5" s="51"/>
      <c r="B5" s="51"/>
      <c r="C5" s="51"/>
      <c r="D5" s="51"/>
      <c r="E5" s="51"/>
      <c r="F5" s="51"/>
      <c r="G5" s="51"/>
      <c r="H5" s="51"/>
      <c r="I5" s="51"/>
      <c r="J5" s="51"/>
      <c r="K5" s="51"/>
      <c r="L5" s="51"/>
      <c r="M5" s="51"/>
      <c r="N5" s="51"/>
      <c r="O5" s="57"/>
      <c r="P5" s="57"/>
      <c r="Q5" s="57"/>
      <c r="R5" s="57"/>
      <c r="S5" s="57"/>
      <c r="T5" s="57"/>
      <c r="U5" s="57"/>
      <c r="V5" s="57"/>
      <c r="W5" s="57"/>
      <c r="X5" s="57"/>
    </row>
    <row r="6" spans="1:24" s="17" customFormat="1">
      <c r="B6" s="46"/>
      <c r="C6" s="33"/>
      <c r="D6" s="32"/>
      <c r="E6" s="32"/>
      <c r="F6" s="32"/>
      <c r="G6" s="32"/>
      <c r="M6" s="7" t="s">
        <v>21</v>
      </c>
    </row>
    <row r="7" spans="1:24" s="17" customFormat="1">
      <c r="B7" s="403" t="s">
        <v>2</v>
      </c>
      <c r="C7" s="428" t="s">
        <v>82</v>
      </c>
      <c r="D7" s="428" t="s">
        <v>24</v>
      </c>
      <c r="E7" s="428"/>
      <c r="F7" s="428"/>
      <c r="G7" s="428"/>
      <c r="H7" s="428"/>
      <c r="I7" s="428"/>
      <c r="J7" s="428"/>
      <c r="K7" s="428"/>
      <c r="L7" s="428"/>
      <c r="M7" s="428"/>
      <c r="N7" s="428" t="s">
        <v>25</v>
      </c>
    </row>
    <row r="8" spans="1:24" ht="15" customHeight="1">
      <c r="B8" s="404"/>
      <c r="C8" s="428"/>
      <c r="D8" s="430" t="s">
        <v>26</v>
      </c>
      <c r="E8" s="432"/>
      <c r="F8" s="430" t="s">
        <v>27</v>
      </c>
      <c r="G8" s="432"/>
      <c r="H8" s="430" t="s">
        <v>28</v>
      </c>
      <c r="I8" s="432"/>
      <c r="J8" s="430" t="s">
        <v>29</v>
      </c>
      <c r="K8" s="432"/>
      <c r="L8" s="430" t="s">
        <v>30</v>
      </c>
      <c r="M8" s="432"/>
      <c r="N8" s="428"/>
    </row>
    <row r="9" spans="1:24">
      <c r="B9" s="437"/>
      <c r="C9" s="436"/>
      <c r="D9" s="45" t="s">
        <v>208</v>
      </c>
      <c r="E9" s="45" t="s">
        <v>209</v>
      </c>
      <c r="F9" s="45" t="s">
        <v>208</v>
      </c>
      <c r="G9" s="45" t="s">
        <v>209</v>
      </c>
      <c r="H9" s="45" t="s">
        <v>208</v>
      </c>
      <c r="I9" s="45" t="s">
        <v>209</v>
      </c>
      <c r="J9" s="45" t="s">
        <v>208</v>
      </c>
      <c r="K9" s="45" t="s">
        <v>209</v>
      </c>
      <c r="L9" s="45" t="s">
        <v>208</v>
      </c>
      <c r="M9" s="45" t="s">
        <v>209</v>
      </c>
      <c r="N9" s="436"/>
    </row>
    <row r="10" spans="1:24">
      <c r="B10" s="107">
        <v>1</v>
      </c>
      <c r="C10" s="81" t="s">
        <v>32</v>
      </c>
      <c r="D10" s="114">
        <f>'F1 '!E10</f>
        <v>7618.4599999999991</v>
      </c>
      <c r="E10" s="114">
        <f>D10/12</f>
        <v>634.87166666666656</v>
      </c>
      <c r="F10" s="114">
        <f>'F1 '!F10</f>
        <v>8146.77</v>
      </c>
      <c r="G10" s="114">
        <f>F10/12</f>
        <v>678.89750000000004</v>
      </c>
      <c r="H10" s="114">
        <f>'F1 '!G10</f>
        <v>9482.4500000000007</v>
      </c>
      <c r="I10" s="114">
        <f>H10/12</f>
        <v>790.20416666666677</v>
      </c>
      <c r="J10" s="114">
        <f>'F1 '!H10</f>
        <v>10694.93</v>
      </c>
      <c r="K10" s="114">
        <f>J10/12</f>
        <v>891.24416666666673</v>
      </c>
      <c r="L10" s="114">
        <f>'F1 '!I10</f>
        <v>11469.14</v>
      </c>
      <c r="M10" s="84">
        <f>L10/12</f>
        <v>955.76166666666666</v>
      </c>
      <c r="N10" s="10"/>
    </row>
    <row r="11" spans="1:24" ht="15" customHeight="1">
      <c r="B11" s="107">
        <v>2</v>
      </c>
      <c r="C11" s="81" t="s">
        <v>34</v>
      </c>
      <c r="D11" s="114">
        <f>'F1 '!E11</f>
        <v>111.61</v>
      </c>
      <c r="E11" s="114">
        <f t="shared" ref="E11:E18" si="0">D11/12</f>
        <v>9.3008333333333333</v>
      </c>
      <c r="F11" s="114">
        <f>'F1 '!F11</f>
        <v>66.44</v>
      </c>
      <c r="G11" s="114">
        <f t="shared" ref="G11:G18" si="1">F11/12</f>
        <v>5.5366666666666662</v>
      </c>
      <c r="H11" s="114">
        <f>'F1 '!G11</f>
        <v>66.95</v>
      </c>
      <c r="I11" s="114">
        <f t="shared" ref="I11:I18" si="2">H11/12</f>
        <v>5.5791666666666666</v>
      </c>
      <c r="J11" s="114">
        <f>'F1 '!H11</f>
        <v>67.58</v>
      </c>
      <c r="K11" s="114">
        <f t="shared" ref="K11:K18" si="3">J11/12</f>
        <v>5.6316666666666668</v>
      </c>
      <c r="L11" s="114">
        <f>'F1 '!I11</f>
        <v>68.290000000000006</v>
      </c>
      <c r="M11" s="84">
        <f t="shared" ref="M11:M17" si="4">L11/12</f>
        <v>5.6908333333333339</v>
      </c>
      <c r="N11" s="10"/>
    </row>
    <row r="12" spans="1:24">
      <c r="B12" s="107">
        <v>3</v>
      </c>
      <c r="C12" s="81" t="s">
        <v>36</v>
      </c>
      <c r="D12" s="114">
        <f>'F1 '!E12</f>
        <v>1285.52</v>
      </c>
      <c r="E12" s="114">
        <f t="shared" si="0"/>
        <v>107.12666666666667</v>
      </c>
      <c r="F12" s="114">
        <f>'F1 '!F12</f>
        <v>874.89</v>
      </c>
      <c r="G12" s="114">
        <f t="shared" si="1"/>
        <v>72.907499999999999</v>
      </c>
      <c r="H12" s="114">
        <f>'F1 '!G12</f>
        <v>833.99</v>
      </c>
      <c r="I12" s="114">
        <f t="shared" si="2"/>
        <v>69.499166666666667</v>
      </c>
      <c r="J12" s="114">
        <f>'F1 '!H12</f>
        <v>822.12</v>
      </c>
      <c r="K12" s="114">
        <f t="shared" si="3"/>
        <v>68.510000000000005</v>
      </c>
      <c r="L12" s="114">
        <f>'F1 '!I12</f>
        <v>811.09</v>
      </c>
      <c r="M12" s="84">
        <f t="shared" si="4"/>
        <v>67.590833333333336</v>
      </c>
      <c r="N12" s="10"/>
    </row>
    <row r="13" spans="1:24">
      <c r="B13" s="107">
        <v>4</v>
      </c>
      <c r="C13" s="82" t="s">
        <v>38</v>
      </c>
      <c r="D13" s="114">
        <f>'F1 '!E13</f>
        <v>5.443303758340476</v>
      </c>
      <c r="E13" s="114">
        <f t="shared" si="0"/>
        <v>0.45360864652837302</v>
      </c>
      <c r="F13" s="114">
        <f>'F1 '!F13</f>
        <v>3.6594004663834525</v>
      </c>
      <c r="G13" s="114">
        <f t="shared" si="1"/>
        <v>0.30495003886528771</v>
      </c>
      <c r="H13" s="114">
        <f>'F1 '!G13</f>
        <v>3.5666735518962978</v>
      </c>
      <c r="I13" s="114">
        <f t="shared" si="2"/>
        <v>0.29722279599135815</v>
      </c>
      <c r="J13" s="114">
        <f>'F1 '!H13</f>
        <v>2.6076899914869354</v>
      </c>
      <c r="K13" s="114">
        <f t="shared" si="3"/>
        <v>0.21730749929057794</v>
      </c>
      <c r="L13" s="114">
        <f>'F1 '!I13</f>
        <v>2.624115687404319</v>
      </c>
      <c r="M13" s="84">
        <f t="shared" si="4"/>
        <v>0.21867630728369325</v>
      </c>
      <c r="N13" s="10"/>
    </row>
    <row r="14" spans="1:24">
      <c r="B14" s="107">
        <v>5</v>
      </c>
      <c r="C14" s="82" t="s">
        <v>40</v>
      </c>
      <c r="D14" s="114">
        <f>'F1 '!E14</f>
        <v>647.82000000000005</v>
      </c>
      <c r="E14" s="114">
        <f t="shared" si="0"/>
        <v>53.985000000000007</v>
      </c>
      <c r="F14" s="114">
        <f>'F1 '!F14</f>
        <v>629.88</v>
      </c>
      <c r="G14" s="114">
        <f t="shared" si="1"/>
        <v>52.49</v>
      </c>
      <c r="H14" s="114">
        <f>'F1 '!G14</f>
        <v>823.01</v>
      </c>
      <c r="I14" s="114">
        <f t="shared" si="2"/>
        <v>68.584166666666661</v>
      </c>
      <c r="J14" s="114">
        <f>'F1 '!H14</f>
        <v>1176.6199999999999</v>
      </c>
      <c r="K14" s="114">
        <f t="shared" si="3"/>
        <v>98.051666666666662</v>
      </c>
      <c r="L14" s="114">
        <f>'F1 '!I14</f>
        <v>1554.63</v>
      </c>
      <c r="M14" s="84">
        <f t="shared" si="4"/>
        <v>129.55250000000001</v>
      </c>
      <c r="N14" s="10"/>
    </row>
    <row r="15" spans="1:24">
      <c r="B15" s="107">
        <v>6</v>
      </c>
      <c r="C15" s="83" t="s">
        <v>42</v>
      </c>
      <c r="D15" s="114">
        <f>'F1 '!E15</f>
        <v>1777.33</v>
      </c>
      <c r="E15" s="114">
        <f t="shared" si="0"/>
        <v>148.11083333333332</v>
      </c>
      <c r="F15" s="114">
        <f>'F1 '!F15</f>
        <v>1850.05</v>
      </c>
      <c r="G15" s="114">
        <f t="shared" si="1"/>
        <v>154.17083333333332</v>
      </c>
      <c r="H15" s="114">
        <f>'F1 '!G15</f>
        <v>2367.0100000000002</v>
      </c>
      <c r="I15" s="114">
        <f t="shared" si="2"/>
        <v>197.25083333333336</v>
      </c>
      <c r="J15" s="114">
        <f>'F1 '!H15</f>
        <v>2569.73</v>
      </c>
      <c r="K15" s="114">
        <f t="shared" si="3"/>
        <v>214.14416666666668</v>
      </c>
      <c r="L15" s="114">
        <f>'F1 '!I15</f>
        <v>2745.79</v>
      </c>
      <c r="M15" s="84">
        <f t="shared" si="4"/>
        <v>228.81583333333333</v>
      </c>
      <c r="N15" s="10"/>
    </row>
    <row r="16" spans="1:24">
      <c r="B16" s="116">
        <v>7</v>
      </c>
      <c r="C16" s="81" t="s">
        <v>44</v>
      </c>
      <c r="D16" s="114">
        <f>'F1 '!E16</f>
        <v>47.88</v>
      </c>
      <c r="E16" s="114">
        <f t="shared" si="0"/>
        <v>3.99</v>
      </c>
      <c r="F16" s="114">
        <f>'F1 '!F16</f>
        <v>43.63</v>
      </c>
      <c r="G16" s="114">
        <f t="shared" si="1"/>
        <v>3.6358333333333337</v>
      </c>
      <c r="H16" s="114">
        <f>'F1 '!G16</f>
        <v>43.42</v>
      </c>
      <c r="I16" s="114">
        <f t="shared" si="2"/>
        <v>3.6183333333333336</v>
      </c>
      <c r="J16" s="114">
        <f>'F1 '!H16</f>
        <v>43.54</v>
      </c>
      <c r="K16" s="114">
        <f t="shared" si="3"/>
        <v>3.6283333333333334</v>
      </c>
      <c r="L16" s="114">
        <f>'F1 '!I16</f>
        <v>43.75</v>
      </c>
      <c r="M16" s="84">
        <f t="shared" si="4"/>
        <v>3.6458333333333335</v>
      </c>
      <c r="N16" s="10"/>
    </row>
    <row r="17" spans="2:14">
      <c r="B17" s="107">
        <v>8</v>
      </c>
      <c r="C17" s="81" t="s">
        <v>46</v>
      </c>
      <c r="D17" s="114">
        <f>'F1 '!E17</f>
        <v>42.82</v>
      </c>
      <c r="E17" s="114">
        <f t="shared" si="0"/>
        <v>3.5683333333333334</v>
      </c>
      <c r="F17" s="114">
        <f>'F1 '!F17</f>
        <v>37.44</v>
      </c>
      <c r="G17" s="114">
        <f t="shared" si="1"/>
        <v>3.1199999999999997</v>
      </c>
      <c r="H17" s="114">
        <f>'F1 '!G17</f>
        <v>36.14</v>
      </c>
      <c r="I17" s="114">
        <f t="shared" si="2"/>
        <v>3.0116666666666667</v>
      </c>
      <c r="J17" s="114">
        <f>'F1 '!H17</f>
        <v>34.86</v>
      </c>
      <c r="K17" s="114">
        <f t="shared" si="3"/>
        <v>2.9049999999999998</v>
      </c>
      <c r="L17" s="114">
        <f>'F1 '!I17</f>
        <v>23.58</v>
      </c>
      <c r="M17" s="84">
        <f t="shared" si="4"/>
        <v>1.9649999999999999</v>
      </c>
      <c r="N17" s="18"/>
    </row>
    <row r="18" spans="2:14">
      <c r="B18" s="107">
        <v>9</v>
      </c>
      <c r="C18" s="81" t="s">
        <v>48</v>
      </c>
      <c r="D18" s="114">
        <f>'F1 '!E18</f>
        <v>302.5</v>
      </c>
      <c r="E18" s="114">
        <f t="shared" si="0"/>
        <v>25.208333333333332</v>
      </c>
      <c r="F18" s="114">
        <f>'F1 '!F18</f>
        <v>302.5</v>
      </c>
      <c r="G18" s="114">
        <f t="shared" si="1"/>
        <v>25.208333333333332</v>
      </c>
      <c r="H18" s="114">
        <f>'F1 '!G18</f>
        <v>302.5</v>
      </c>
      <c r="I18" s="114">
        <f t="shared" si="2"/>
        <v>25.208333333333332</v>
      </c>
      <c r="J18" s="114">
        <f>'F1 '!H18</f>
        <v>212.05</v>
      </c>
      <c r="K18" s="114">
        <f t="shared" si="3"/>
        <v>17.670833333333334</v>
      </c>
      <c r="L18" s="114">
        <f>'F1 '!I18</f>
        <v>212.05</v>
      </c>
      <c r="M18" s="84">
        <f>L18/12</f>
        <v>17.670833333333334</v>
      </c>
      <c r="N18" s="18"/>
    </row>
    <row r="19" spans="2:14" s="104" customFormat="1">
      <c r="B19" s="117"/>
      <c r="C19" s="117" t="s">
        <v>191</v>
      </c>
      <c r="D19" s="115">
        <f>SUM(D10:D18)</f>
        <v>11839.383303758337</v>
      </c>
      <c r="E19" s="115">
        <f t="shared" ref="E19:M19" si="5">SUM(E10:E18)</f>
        <v>986.61527531319496</v>
      </c>
      <c r="F19" s="115">
        <f t="shared" si="5"/>
        <v>11955.259400466382</v>
      </c>
      <c r="G19" s="115">
        <f t="shared" si="5"/>
        <v>996.2716167055321</v>
      </c>
      <c r="H19" s="115">
        <f t="shared" si="5"/>
        <v>13959.036673551898</v>
      </c>
      <c r="I19" s="115">
        <f t="shared" si="5"/>
        <v>1163.2530561293247</v>
      </c>
      <c r="J19" s="115">
        <f t="shared" si="5"/>
        <v>15624.037689991488</v>
      </c>
      <c r="K19" s="115">
        <f t="shared" si="5"/>
        <v>1302.003140832624</v>
      </c>
      <c r="L19" s="115">
        <f t="shared" si="5"/>
        <v>16930.944115687405</v>
      </c>
      <c r="M19" s="115">
        <f t="shared" si="5"/>
        <v>1410.9120096406168</v>
      </c>
      <c r="N19" s="105"/>
    </row>
    <row r="20" spans="2:14">
      <c r="D20" s="103"/>
      <c r="E20" s="103"/>
      <c r="F20" s="103"/>
      <c r="G20" s="103"/>
      <c r="H20" s="103"/>
      <c r="I20" s="103"/>
      <c r="J20" s="103"/>
      <c r="K20" s="103"/>
      <c r="L20" s="103"/>
    </row>
    <row r="21" spans="2:14">
      <c r="B21" s="52"/>
    </row>
  </sheetData>
  <mergeCells count="12">
    <mergeCell ref="A2:N2"/>
    <mergeCell ref="A3:N3"/>
    <mergeCell ref="A4:N4"/>
    <mergeCell ref="D7:M7"/>
    <mergeCell ref="N7:N9"/>
    <mergeCell ref="D8:E8"/>
    <mergeCell ref="F8:G8"/>
    <mergeCell ref="H8:I8"/>
    <mergeCell ref="J8:K8"/>
    <mergeCell ref="L8:M8"/>
    <mergeCell ref="B7:B9"/>
    <mergeCell ref="C7:C9"/>
  </mergeCells>
  <pageMargins left="1.02" right="0.25" top="1" bottom="1" header="0.25" footer="0.25"/>
  <pageSetup paperSize="9" scale="43" orientation="landscape" r:id="rId1"/>
  <headerFooter alignWithMargins="0">
    <oddHeader>&amp;F</oddHeader>
  </headerFooter>
  <ignoredErrors>
    <ignoredError sqref="J10 L10 F10 H10 F11:F18 H11:H18 J11:J18 L11:L1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5D5D-78F1-4D51-A763-93A9725A87ED}">
  <dimension ref="B2:J184"/>
  <sheetViews>
    <sheetView zoomScale="110" workbookViewId="0">
      <selection activeCell="H25" sqref="H25"/>
    </sheetView>
  </sheetViews>
  <sheetFormatPr defaultRowHeight="13.15"/>
  <cols>
    <col min="2" max="2" width="36" bestFit="1" customWidth="1"/>
    <col min="3" max="5" width="22.140625" customWidth="1"/>
    <col min="6" max="6" width="15.85546875" customWidth="1"/>
    <col min="7" max="7" width="36" bestFit="1" customWidth="1"/>
    <col min="8" max="10" width="22.140625" customWidth="1"/>
  </cols>
  <sheetData>
    <row r="2" spans="2:10" ht="13.9">
      <c r="B2" s="182" t="s">
        <v>82</v>
      </c>
      <c r="C2" s="182" t="s">
        <v>212</v>
      </c>
      <c r="D2" s="182" t="s">
        <v>213</v>
      </c>
      <c r="E2" s="182" t="s">
        <v>214</v>
      </c>
      <c r="G2" s="182" t="s">
        <v>215</v>
      </c>
      <c r="H2" s="182" t="s">
        <v>212</v>
      </c>
      <c r="I2" s="182" t="s">
        <v>213</v>
      </c>
      <c r="J2" s="182" t="s">
        <v>214</v>
      </c>
    </row>
    <row r="3" spans="2:10" ht="13.9">
      <c r="B3" s="183" t="s">
        <v>216</v>
      </c>
      <c r="C3" s="185">
        <v>150340.815</v>
      </c>
      <c r="D3" s="185">
        <v>145385.19200000001</v>
      </c>
      <c r="E3" s="184">
        <f t="shared" ref="E3:E5" si="0">(C3-D3)/C3</f>
        <v>3.2962592360564175E-2</v>
      </c>
      <c r="G3" s="183" t="s">
        <v>26</v>
      </c>
      <c r="H3" s="185">
        <f>H84</f>
        <v>216584.29716318811</v>
      </c>
      <c r="I3" s="185">
        <f t="shared" ref="I3" si="1">I84</f>
        <v>209476.0184366871</v>
      </c>
      <c r="J3" s="184">
        <f t="shared" ref="J3:J5" si="2">(H3-I3)/H3</f>
        <v>3.2819917323670018E-2</v>
      </c>
    </row>
    <row r="4" spans="2:10" ht="13.9">
      <c r="B4" s="183" t="s">
        <v>217</v>
      </c>
      <c r="C4" s="185">
        <v>158797.62</v>
      </c>
      <c r="D4" s="185">
        <v>153864.56700000001</v>
      </c>
      <c r="E4" s="184">
        <f t="shared" si="0"/>
        <v>3.1065031075402677E-2</v>
      </c>
      <c r="G4" s="183" t="s">
        <v>27</v>
      </c>
      <c r="H4" s="185">
        <f>H96</f>
        <v>225273.43444253877</v>
      </c>
      <c r="I4" s="185">
        <f>I96</f>
        <v>217922.9605192134</v>
      </c>
      <c r="J4" s="184">
        <f t="shared" si="2"/>
        <v>3.2629119991510906E-2</v>
      </c>
    </row>
    <row r="5" spans="2:10" ht="13.9">
      <c r="B5" s="183" t="s">
        <v>218</v>
      </c>
      <c r="C5" s="185">
        <v>155174.00399999999</v>
      </c>
      <c r="D5" s="185">
        <v>150261.00599999999</v>
      </c>
      <c r="E5" s="184">
        <f t="shared" si="0"/>
        <v>3.1661218202502478E-2</v>
      </c>
      <c r="G5" s="183" t="s">
        <v>28</v>
      </c>
      <c r="H5" s="185">
        <f>H108</f>
        <v>236597.32829774939</v>
      </c>
      <c r="I5" s="185">
        <f>I108</f>
        <v>228923.65373655799</v>
      </c>
      <c r="J5" s="184">
        <f t="shared" si="2"/>
        <v>3.2433479348229828E-2</v>
      </c>
    </row>
    <row r="6" spans="2:10" ht="13.9">
      <c r="B6" s="183" t="s">
        <v>120</v>
      </c>
      <c r="C6" s="185">
        <v>151778.57699999999</v>
      </c>
      <c r="D6" s="185">
        <v>147321.68</v>
      </c>
      <c r="E6" s="184">
        <f>(C6-D6)/C6</f>
        <v>2.936446689706412E-2</v>
      </c>
      <c r="G6" s="183" t="s">
        <v>29</v>
      </c>
      <c r="H6" s="185">
        <f>H120</f>
        <v>246430.41843400872</v>
      </c>
      <c r="I6" s="185">
        <f>I120</f>
        <v>238530.11180426329</v>
      </c>
      <c r="J6" s="184">
        <f>(H6-I6)/H6</f>
        <v>3.205897502406363E-2</v>
      </c>
    </row>
    <row r="7" spans="2:10" ht="13.9">
      <c r="B7" s="183" t="s">
        <v>119</v>
      </c>
      <c r="C7" s="185">
        <v>168307.00399999999</v>
      </c>
      <c r="D7" s="185">
        <v>162931.42199999999</v>
      </c>
      <c r="E7" s="184">
        <f t="shared" ref="E7:E9" si="3">(C7-D7)/C7</f>
        <v>3.1939146156983435E-2</v>
      </c>
      <c r="G7" s="183" t="s">
        <v>30</v>
      </c>
      <c r="H7" s="185">
        <f>H132</f>
        <v>256960.23745665234</v>
      </c>
      <c r="I7" s="185">
        <f>I132</f>
        <v>248838.92671189329</v>
      </c>
      <c r="J7" s="184">
        <f t="shared" ref="J7" si="4">(H7-I7)/H7</f>
        <v>3.1605320827620506E-2</v>
      </c>
    </row>
    <row r="8" spans="2:10" ht="13.9">
      <c r="B8" s="183" t="s">
        <v>51</v>
      </c>
      <c r="C8" s="185">
        <v>182132.97700000001</v>
      </c>
      <c r="D8" s="185">
        <v>176198.326</v>
      </c>
      <c r="E8" s="184">
        <f t="shared" si="3"/>
        <v>3.2584165139957121E-2</v>
      </c>
    </row>
    <row r="9" spans="2:10" ht="13.9">
      <c r="B9" s="183" t="s">
        <v>52</v>
      </c>
      <c r="C9" s="185">
        <v>198321.19099999999</v>
      </c>
      <c r="D9" s="185">
        <v>191831.337</v>
      </c>
      <c r="E9" s="184">
        <f t="shared" si="3"/>
        <v>3.2723956362283001E-2</v>
      </c>
    </row>
    <row r="10" spans="2:10" ht="13.9">
      <c r="B10" s="49"/>
      <c r="C10" s="216"/>
      <c r="D10" s="216"/>
      <c r="E10" s="217"/>
    </row>
    <row r="11" spans="2:10" ht="13.9">
      <c r="D11" s="48" t="s">
        <v>138</v>
      </c>
      <c r="E11" s="215">
        <f>AVERAGE(E3:E9)</f>
        <v>3.1757225170679575E-2</v>
      </c>
    </row>
    <row r="13" spans="2:10" ht="13.9">
      <c r="B13" s="182" t="s">
        <v>82</v>
      </c>
      <c r="C13" s="182" t="s">
        <v>219</v>
      </c>
      <c r="D13" s="182" t="s">
        <v>220</v>
      </c>
    </row>
    <row r="14" spans="2:10" ht="13.9">
      <c r="B14" s="183" t="s">
        <v>216</v>
      </c>
      <c r="C14" s="184">
        <f t="shared" ref="C14:D14" si="5">(C4-C3)/C3</f>
        <v>5.6250892347497201E-2</v>
      </c>
      <c r="D14" s="184">
        <f t="shared" si="5"/>
        <v>5.8323512067171186E-2</v>
      </c>
      <c r="E14" s="253">
        <f>_xlfn.RRI(5,C3,C9)</f>
        <v>5.6959737931651766E-2</v>
      </c>
    </row>
    <row r="15" spans="2:10" ht="13.9">
      <c r="B15" s="183" t="s">
        <v>217</v>
      </c>
      <c r="C15" s="184">
        <f t="shared" ref="C15:D15" si="6">(C5-C4)/C4</f>
        <v>-2.2819082553000539E-2</v>
      </c>
      <c r="D15" s="184">
        <f t="shared" si="6"/>
        <v>-2.3420343424487171E-2</v>
      </c>
    </row>
    <row r="16" spans="2:10" ht="13.9">
      <c r="B16" s="183" t="s">
        <v>218</v>
      </c>
      <c r="C16" s="184">
        <f t="shared" ref="C16:D16" si="7">(C6-C5)/C5</f>
        <v>-2.1881416425911109E-2</v>
      </c>
      <c r="D16" s="184">
        <f t="shared" si="7"/>
        <v>-1.9561468928272721E-2</v>
      </c>
    </row>
    <row r="17" spans="2:8" ht="13.9">
      <c r="B17" s="183" t="s">
        <v>120</v>
      </c>
      <c r="C17" s="184">
        <f t="shared" ref="C17:D19" si="8">(C7-C6)/C6</f>
        <v>0.10889828674569796</v>
      </c>
      <c r="D17" s="184">
        <f t="shared" si="8"/>
        <v>0.10595685577302674</v>
      </c>
    </row>
    <row r="18" spans="2:8" ht="13.9">
      <c r="B18" s="183" t="s">
        <v>119</v>
      </c>
      <c r="C18" s="184">
        <f t="shared" si="8"/>
        <v>8.2147341889586653E-2</v>
      </c>
      <c r="D18" s="184">
        <f t="shared" si="8"/>
        <v>8.1426307075378068E-2</v>
      </c>
    </row>
    <row r="19" spans="2:8" ht="13.9">
      <c r="B19" s="183" t="s">
        <v>51</v>
      </c>
      <c r="C19" s="184">
        <f t="shared" si="8"/>
        <v>8.888129028934709E-2</v>
      </c>
      <c r="D19" s="184">
        <f t="shared" si="8"/>
        <v>8.8723947354641716E-2</v>
      </c>
    </row>
    <row r="20" spans="2:8" ht="13.9">
      <c r="B20" s="183" t="s">
        <v>221</v>
      </c>
      <c r="C20" s="186">
        <f>AVERAGE(C17:C19)</f>
        <v>9.3308972974877238E-2</v>
      </c>
      <c r="D20" s="186">
        <f>AVERAGE(D17:D19)</f>
        <v>9.2035703401015509E-2</v>
      </c>
    </row>
    <row r="24" spans="2:8" ht="13.9">
      <c r="B24" s="182" t="s">
        <v>222</v>
      </c>
      <c r="C24" s="182" t="s">
        <v>223</v>
      </c>
      <c r="D24" s="182" t="s">
        <v>224</v>
      </c>
      <c r="E24" s="182" t="s">
        <v>225</v>
      </c>
      <c r="F24" s="182" t="s">
        <v>226</v>
      </c>
      <c r="G24" s="182" t="s">
        <v>227</v>
      </c>
    </row>
    <row r="25" spans="2:8" ht="13.9">
      <c r="B25" s="252">
        <v>44287</v>
      </c>
      <c r="C25" s="185">
        <v>15446.81</v>
      </c>
      <c r="D25" s="185">
        <v>14955.5</v>
      </c>
      <c r="E25" s="184">
        <v>3.1800000000000002E-2</v>
      </c>
      <c r="F25" s="218">
        <v>1</v>
      </c>
      <c r="G25" s="270"/>
      <c r="H25" s="253">
        <f>AVERAGE(E25:E65)</f>
        <v>3.2573170731707318E-2</v>
      </c>
    </row>
    <row r="26" spans="2:8" ht="13.9">
      <c r="B26" s="252">
        <v>44317</v>
      </c>
      <c r="C26" s="185">
        <v>14348.88</v>
      </c>
      <c r="D26" s="185">
        <v>13937.65</v>
      </c>
      <c r="E26" s="184">
        <v>2.87E-2</v>
      </c>
      <c r="F26" s="218">
        <v>2</v>
      </c>
      <c r="G26" s="270"/>
      <c r="H26" s="253"/>
    </row>
    <row r="27" spans="2:8" ht="13.9">
      <c r="B27" s="252">
        <v>44348</v>
      </c>
      <c r="C27" s="185">
        <v>12728.66</v>
      </c>
      <c r="D27" s="185">
        <v>12312.08</v>
      </c>
      <c r="E27" s="184">
        <v>3.27E-2</v>
      </c>
      <c r="F27" s="218">
        <v>3</v>
      </c>
      <c r="G27" s="270"/>
      <c r="H27" s="253"/>
    </row>
    <row r="28" spans="2:8" ht="13.9">
      <c r="B28" s="252">
        <v>44378</v>
      </c>
      <c r="C28" s="185">
        <v>13057.91</v>
      </c>
      <c r="D28" s="185">
        <v>12618.6</v>
      </c>
      <c r="E28" s="184">
        <v>3.3599999999999998E-2</v>
      </c>
      <c r="F28" s="218">
        <v>4</v>
      </c>
      <c r="G28" s="270"/>
      <c r="H28" s="253"/>
    </row>
    <row r="29" spans="2:8" ht="13.9">
      <c r="B29" s="252">
        <v>44409</v>
      </c>
      <c r="C29" s="185">
        <v>13914.13</v>
      </c>
      <c r="D29" s="185">
        <v>13441.19</v>
      </c>
      <c r="E29" s="184">
        <v>3.4000000000000002E-2</v>
      </c>
      <c r="F29" s="218">
        <v>5</v>
      </c>
      <c r="G29" s="270"/>
      <c r="H29" s="253"/>
    </row>
    <row r="30" spans="2:8" ht="13.9">
      <c r="B30" s="252">
        <v>44440</v>
      </c>
      <c r="C30" s="185">
        <v>12587.28</v>
      </c>
      <c r="D30" s="185">
        <v>12185.7</v>
      </c>
      <c r="E30" s="184">
        <v>3.1899999999999998E-2</v>
      </c>
      <c r="F30" s="218">
        <v>6</v>
      </c>
      <c r="G30" s="270"/>
      <c r="H30" s="253"/>
    </row>
    <row r="31" spans="2:8" ht="13.9">
      <c r="B31" s="252">
        <v>44470</v>
      </c>
      <c r="C31" s="185">
        <v>13669.94</v>
      </c>
      <c r="D31" s="185">
        <v>13244.03</v>
      </c>
      <c r="E31" s="184">
        <v>3.1199999999999999E-2</v>
      </c>
      <c r="F31" s="218">
        <v>7</v>
      </c>
      <c r="G31" s="270"/>
      <c r="H31" s="253"/>
    </row>
    <row r="32" spans="2:8" ht="13.9">
      <c r="B32" s="252">
        <v>44501</v>
      </c>
      <c r="C32" s="185">
        <v>13854.01</v>
      </c>
      <c r="D32" s="185">
        <v>13435.25</v>
      </c>
      <c r="E32" s="184">
        <v>3.0200000000000001E-2</v>
      </c>
      <c r="F32" s="218">
        <v>8</v>
      </c>
      <c r="G32" s="270"/>
      <c r="H32" s="253"/>
    </row>
    <row r="33" spans="2:10" ht="13.9">
      <c r="B33" s="252">
        <v>44531</v>
      </c>
      <c r="C33" s="185">
        <v>13688.89</v>
      </c>
      <c r="D33" s="185">
        <v>13277.93</v>
      </c>
      <c r="E33" s="184">
        <v>0.03</v>
      </c>
      <c r="F33" s="218">
        <v>9</v>
      </c>
      <c r="G33" s="270"/>
      <c r="H33" s="253"/>
    </row>
    <row r="34" spans="2:10" ht="13.9">
      <c r="B34" s="252">
        <v>44562</v>
      </c>
      <c r="C34" s="185">
        <v>14124.04</v>
      </c>
      <c r="D34" s="185">
        <v>13671.25</v>
      </c>
      <c r="E34" s="184">
        <v>3.2099999999999997E-2</v>
      </c>
      <c r="F34" s="218">
        <v>10</v>
      </c>
      <c r="G34" s="270"/>
      <c r="H34" s="253"/>
    </row>
    <row r="35" spans="2:10" ht="13.9">
      <c r="B35" s="252">
        <v>44593</v>
      </c>
      <c r="C35" s="185">
        <v>13885.83</v>
      </c>
      <c r="D35" s="185">
        <v>13417.56</v>
      </c>
      <c r="E35" s="184">
        <v>3.3700000000000001E-2</v>
      </c>
      <c r="F35" s="218">
        <v>11</v>
      </c>
      <c r="G35" s="270"/>
      <c r="H35" s="253"/>
    </row>
    <row r="36" spans="2:10" ht="13.9">
      <c r="B36" s="252">
        <v>44621</v>
      </c>
      <c r="C36" s="185">
        <v>17000.62</v>
      </c>
      <c r="D36" s="185">
        <v>16434.689999999999</v>
      </c>
      <c r="E36" s="184">
        <v>3.3300000000000003E-2</v>
      </c>
      <c r="F36" s="218">
        <v>12</v>
      </c>
      <c r="G36" s="199"/>
      <c r="H36" s="205"/>
      <c r="I36" s="205"/>
      <c r="J36" s="255"/>
    </row>
    <row r="37" spans="2:10" ht="13.9">
      <c r="B37" s="252">
        <v>44652</v>
      </c>
      <c r="C37" s="185">
        <v>17282.16</v>
      </c>
      <c r="D37" s="185">
        <v>16688.830000000002</v>
      </c>
      <c r="E37" s="184">
        <v>3.4299999999999997E-2</v>
      </c>
      <c r="F37" s="218">
        <v>13</v>
      </c>
      <c r="G37" s="199"/>
      <c r="H37" s="255"/>
      <c r="I37" s="1"/>
      <c r="J37" s="1"/>
    </row>
    <row r="38" spans="2:10" ht="13.9">
      <c r="B38" s="252">
        <v>44682</v>
      </c>
      <c r="C38" s="185">
        <v>17343.22</v>
      </c>
      <c r="D38" s="185">
        <v>16777.47</v>
      </c>
      <c r="E38" s="184">
        <v>3.2599999999999997E-2</v>
      </c>
      <c r="F38" s="218">
        <v>14</v>
      </c>
      <c r="G38" s="199"/>
      <c r="H38" s="255"/>
      <c r="I38" s="1"/>
      <c r="J38" s="1"/>
    </row>
    <row r="39" spans="2:10" ht="13.9">
      <c r="B39" s="252">
        <v>44713</v>
      </c>
      <c r="C39" s="185">
        <v>15230.54</v>
      </c>
      <c r="D39" s="185">
        <v>14729.13</v>
      </c>
      <c r="E39" s="184">
        <v>3.2899999999999999E-2</v>
      </c>
      <c r="F39" s="218">
        <v>15</v>
      </c>
      <c r="G39" s="199"/>
      <c r="H39" s="255"/>
      <c r="I39" s="1"/>
      <c r="J39" s="1"/>
    </row>
    <row r="40" spans="2:10" ht="13.9">
      <c r="B40" s="252">
        <v>44743</v>
      </c>
      <c r="C40" s="185">
        <v>13253.21</v>
      </c>
      <c r="D40" s="185">
        <v>12793.97</v>
      </c>
      <c r="E40" s="184">
        <v>3.4700000000000002E-2</v>
      </c>
      <c r="F40" s="218">
        <v>16</v>
      </c>
      <c r="G40" s="199"/>
      <c r="H40" s="255"/>
      <c r="I40" s="1"/>
      <c r="J40" s="1"/>
    </row>
    <row r="41" spans="2:10" ht="13.9">
      <c r="B41" s="252">
        <v>44774</v>
      </c>
      <c r="C41" s="185">
        <v>13770.29</v>
      </c>
      <c r="D41" s="185">
        <v>13328.79</v>
      </c>
      <c r="E41" s="184">
        <v>3.2099999999999997E-2</v>
      </c>
      <c r="F41" s="218">
        <v>17</v>
      </c>
      <c r="G41" s="199"/>
      <c r="H41" s="255"/>
      <c r="I41" s="1"/>
      <c r="J41" s="1"/>
    </row>
    <row r="42" spans="2:10" ht="13.9">
      <c r="B42" s="252">
        <v>44805</v>
      </c>
      <c r="C42" s="185">
        <v>13284.87</v>
      </c>
      <c r="D42" s="185">
        <v>12844.34</v>
      </c>
      <c r="E42" s="184">
        <v>3.32E-2</v>
      </c>
      <c r="F42" s="218">
        <v>18</v>
      </c>
      <c r="G42" s="199"/>
      <c r="H42" s="255"/>
      <c r="I42" s="1"/>
      <c r="J42" s="1"/>
    </row>
    <row r="43" spans="2:10" ht="13.9">
      <c r="B43" s="252">
        <v>44835</v>
      </c>
      <c r="C43" s="185">
        <v>13378.48</v>
      </c>
      <c r="D43" s="185">
        <v>12977.2</v>
      </c>
      <c r="E43" s="184">
        <v>0.03</v>
      </c>
      <c r="F43" s="218">
        <v>19</v>
      </c>
      <c r="G43" s="199"/>
      <c r="H43" s="255"/>
      <c r="I43" s="1"/>
      <c r="J43" s="1"/>
    </row>
    <row r="44" spans="2:10" ht="13.9">
      <c r="B44" s="252">
        <v>44866</v>
      </c>
      <c r="C44" s="185">
        <v>14766.03</v>
      </c>
      <c r="D44" s="185">
        <v>14293.87</v>
      </c>
      <c r="E44" s="184">
        <v>3.2000000000000001E-2</v>
      </c>
      <c r="F44" s="218">
        <v>20</v>
      </c>
      <c r="G44" s="199"/>
      <c r="H44" s="255"/>
      <c r="I44" s="1"/>
      <c r="J44" s="1"/>
    </row>
    <row r="45" spans="2:10" ht="13.9">
      <c r="B45" s="252">
        <v>44896</v>
      </c>
      <c r="C45" s="185">
        <v>15893.29</v>
      </c>
      <c r="D45" s="185">
        <v>15396.31</v>
      </c>
      <c r="E45" s="184">
        <v>3.1300000000000001E-2</v>
      </c>
      <c r="F45" s="218">
        <v>21</v>
      </c>
      <c r="G45" s="199"/>
      <c r="H45" s="255"/>
      <c r="I45" s="1"/>
      <c r="J45" s="1"/>
    </row>
    <row r="46" spans="2:10" ht="13.9">
      <c r="B46" s="252">
        <v>44927</v>
      </c>
      <c r="C46" s="185">
        <v>15769.62</v>
      </c>
      <c r="D46" s="185">
        <v>15277.76</v>
      </c>
      <c r="E46" s="184">
        <v>3.1199999999999999E-2</v>
      </c>
      <c r="F46" s="218">
        <v>22</v>
      </c>
      <c r="G46" s="199"/>
      <c r="H46" s="255"/>
      <c r="I46" s="1"/>
      <c r="J46" s="1"/>
    </row>
    <row r="47" spans="2:10" ht="13.9">
      <c r="B47" s="252">
        <v>44958</v>
      </c>
      <c r="C47" s="185">
        <v>15251.37</v>
      </c>
      <c r="D47" s="185">
        <v>14728.29</v>
      </c>
      <c r="E47" s="184">
        <v>3.4299999999999997E-2</v>
      </c>
      <c r="F47" s="218">
        <v>23</v>
      </c>
      <c r="G47" s="199"/>
      <c r="H47" s="255"/>
      <c r="I47" s="1"/>
      <c r="J47" s="1"/>
    </row>
    <row r="48" spans="2:10" ht="13.9">
      <c r="B48" s="252">
        <v>44986</v>
      </c>
      <c r="C48" s="185">
        <v>16909.89</v>
      </c>
      <c r="D48" s="185">
        <v>16362.35</v>
      </c>
      <c r="E48" s="184">
        <v>3.2300000000000002E-2</v>
      </c>
      <c r="F48" s="218">
        <v>24</v>
      </c>
      <c r="G48" s="199"/>
      <c r="H48" s="205"/>
      <c r="I48" s="205"/>
      <c r="J48" s="255"/>
    </row>
    <row r="49" spans="2:10" ht="13.9">
      <c r="B49" s="252">
        <v>45017</v>
      </c>
      <c r="C49" s="185">
        <v>17035.64</v>
      </c>
      <c r="D49" s="185">
        <v>16403.68</v>
      </c>
      <c r="E49" s="184">
        <v>3.7100000000000001E-2</v>
      </c>
      <c r="F49" s="218">
        <v>25</v>
      </c>
      <c r="G49" s="199"/>
      <c r="H49" s="255"/>
      <c r="I49" s="1"/>
      <c r="J49" s="1"/>
    </row>
    <row r="50" spans="2:10" ht="13.9">
      <c r="B50" s="252">
        <v>45047</v>
      </c>
      <c r="C50" s="185">
        <v>17732.080000000002</v>
      </c>
      <c r="D50" s="185">
        <v>17101.52</v>
      </c>
      <c r="E50" s="184">
        <v>3.56E-2</v>
      </c>
      <c r="F50" s="218">
        <v>26</v>
      </c>
      <c r="G50" s="199"/>
      <c r="H50" s="255"/>
      <c r="I50" s="1"/>
      <c r="J50" s="1"/>
    </row>
    <row r="51" spans="2:10" ht="13.9">
      <c r="B51" s="252">
        <v>45078</v>
      </c>
      <c r="C51" s="185">
        <v>17103.57</v>
      </c>
      <c r="D51" s="185">
        <v>16519.3</v>
      </c>
      <c r="E51" s="184">
        <v>3.4200000000000001E-2</v>
      </c>
      <c r="F51" s="218">
        <v>27</v>
      </c>
      <c r="G51" s="199"/>
      <c r="H51" s="255"/>
      <c r="I51" s="1"/>
      <c r="J51" s="1"/>
    </row>
    <row r="52" spans="2:10" ht="13.9">
      <c r="B52" s="252">
        <v>45108</v>
      </c>
      <c r="C52" s="185">
        <v>14752.31</v>
      </c>
      <c r="D52" s="185">
        <v>14273.89</v>
      </c>
      <c r="E52" s="184">
        <v>3.2399999999999998E-2</v>
      </c>
      <c r="F52" s="218">
        <v>28</v>
      </c>
      <c r="G52" s="199"/>
      <c r="H52" s="255"/>
      <c r="I52" s="1"/>
      <c r="J52" s="1"/>
    </row>
    <row r="53" spans="2:10" ht="13.9">
      <c r="B53" s="252">
        <v>45139</v>
      </c>
      <c r="C53" s="185">
        <v>16105.7</v>
      </c>
      <c r="D53" s="185">
        <v>15587.51</v>
      </c>
      <c r="E53" s="184">
        <v>3.2199999999999999E-2</v>
      </c>
      <c r="F53" s="218">
        <v>29</v>
      </c>
      <c r="G53" s="199"/>
      <c r="H53" s="255"/>
      <c r="I53" s="1"/>
      <c r="J53" s="1"/>
    </row>
    <row r="54" spans="2:10" ht="13.9">
      <c r="B54" s="252">
        <v>45170</v>
      </c>
      <c r="C54" s="185">
        <v>15409.62</v>
      </c>
      <c r="D54" s="185">
        <v>14903.89</v>
      </c>
      <c r="E54" s="184">
        <v>3.2800000000000003E-2</v>
      </c>
      <c r="F54" s="218">
        <v>30</v>
      </c>
      <c r="G54" s="199"/>
      <c r="H54" s="255"/>
      <c r="I54" s="1"/>
      <c r="J54" s="1"/>
    </row>
    <row r="55" spans="2:10" ht="13.9">
      <c r="B55" s="252">
        <v>45200</v>
      </c>
      <c r="C55" s="185">
        <v>17625.07</v>
      </c>
      <c r="D55" s="185">
        <v>17002.96</v>
      </c>
      <c r="E55" s="184">
        <v>3.5299999999999998E-2</v>
      </c>
      <c r="F55" s="218">
        <v>31</v>
      </c>
      <c r="G55" s="199"/>
      <c r="H55" s="255"/>
      <c r="I55" s="1"/>
      <c r="J55" s="1"/>
    </row>
    <row r="56" spans="2:10" ht="13.9">
      <c r="B56" s="252">
        <v>45231</v>
      </c>
      <c r="C56" s="185">
        <v>16261.73</v>
      </c>
      <c r="D56" s="185">
        <v>15745.6</v>
      </c>
      <c r="E56" s="184">
        <v>3.1699999999999999E-2</v>
      </c>
      <c r="F56" s="218">
        <v>32</v>
      </c>
      <c r="G56" s="199"/>
      <c r="H56" s="255"/>
      <c r="I56" s="1"/>
      <c r="J56" s="1"/>
    </row>
    <row r="57" spans="2:10" ht="13.9">
      <c r="B57" s="252">
        <v>45261</v>
      </c>
      <c r="C57" s="185">
        <v>15643.98</v>
      </c>
      <c r="D57" s="185">
        <v>15184.59</v>
      </c>
      <c r="E57" s="184">
        <v>2.9399999999999999E-2</v>
      </c>
      <c r="F57" s="218">
        <v>33</v>
      </c>
      <c r="G57" s="199"/>
      <c r="H57" s="255"/>
      <c r="I57" s="1"/>
      <c r="J57" s="1"/>
    </row>
    <row r="58" spans="2:10" ht="13.9">
      <c r="B58" s="252">
        <v>45292</v>
      </c>
      <c r="C58" s="185">
        <v>16512.919999999998</v>
      </c>
      <c r="D58" s="185">
        <v>16043.28</v>
      </c>
      <c r="E58" s="184">
        <v>2.8400000000000002E-2</v>
      </c>
      <c r="F58" s="218">
        <v>34</v>
      </c>
      <c r="G58" s="199"/>
      <c r="H58" s="255"/>
      <c r="I58" s="1"/>
      <c r="J58" s="1"/>
    </row>
    <row r="59" spans="2:10" ht="13.9">
      <c r="B59" s="252">
        <v>45323</v>
      </c>
      <c r="C59" s="185">
        <v>16209.95</v>
      </c>
      <c r="D59" s="185">
        <v>15712.58</v>
      </c>
      <c r="E59" s="184">
        <v>3.0700000000000002E-2</v>
      </c>
      <c r="F59" s="218">
        <v>35</v>
      </c>
      <c r="G59" s="199"/>
      <c r="H59" s="255"/>
      <c r="I59" s="1"/>
      <c r="J59" s="1"/>
    </row>
    <row r="60" spans="2:10" ht="13.9">
      <c r="B60" s="252">
        <v>45352</v>
      </c>
      <c r="C60" s="185">
        <v>17928.62</v>
      </c>
      <c r="D60" s="185">
        <v>17352.53</v>
      </c>
      <c r="E60" s="184">
        <v>3.2099999999999997E-2</v>
      </c>
      <c r="F60" s="218">
        <v>36</v>
      </c>
      <c r="G60" s="199"/>
      <c r="H60" s="205"/>
      <c r="I60" s="205"/>
      <c r="J60" s="255"/>
    </row>
    <row r="61" spans="2:10" ht="13.9">
      <c r="B61" s="252">
        <v>45383</v>
      </c>
      <c r="C61" s="185">
        <v>17877.509999999998</v>
      </c>
      <c r="D61" s="185">
        <v>17257.47</v>
      </c>
      <c r="E61" s="184">
        <v>3.4700000000000002E-2</v>
      </c>
      <c r="F61" s="218">
        <v>37</v>
      </c>
      <c r="G61" s="199"/>
      <c r="H61" s="255"/>
      <c r="I61" s="1"/>
      <c r="J61" s="1"/>
    </row>
    <row r="62" spans="2:10" ht="13.9">
      <c r="B62" s="252">
        <v>45413</v>
      </c>
      <c r="C62" s="185">
        <v>18209.740000000002</v>
      </c>
      <c r="D62" s="185">
        <v>17614.98</v>
      </c>
      <c r="E62" s="184">
        <v>3.27E-2</v>
      </c>
      <c r="F62" s="218">
        <v>38</v>
      </c>
      <c r="G62" s="199"/>
      <c r="H62" s="255"/>
      <c r="I62" s="1"/>
      <c r="J62" s="1"/>
    </row>
    <row r="63" spans="2:10" ht="13.9">
      <c r="B63" s="252">
        <v>45444</v>
      </c>
      <c r="C63" s="185">
        <v>16112.78</v>
      </c>
      <c r="D63" s="185">
        <v>15539.15</v>
      </c>
      <c r="E63" s="184">
        <v>3.56E-2</v>
      </c>
      <c r="F63" s="218">
        <v>39</v>
      </c>
      <c r="G63" s="199"/>
      <c r="H63" s="255"/>
      <c r="I63" s="1"/>
      <c r="J63" s="1"/>
    </row>
    <row r="64" spans="2:10" ht="13.9">
      <c r="B64" s="252">
        <v>45474</v>
      </c>
      <c r="C64" s="185">
        <v>15026.66</v>
      </c>
      <c r="D64" s="185">
        <v>14523.37</v>
      </c>
      <c r="E64" s="184">
        <v>3.3500000000000002E-2</v>
      </c>
      <c r="F64" s="218">
        <v>40</v>
      </c>
      <c r="G64" s="199"/>
      <c r="H64" s="255"/>
      <c r="I64" s="1"/>
      <c r="J64" s="1"/>
    </row>
    <row r="65" spans="2:10" ht="13.9">
      <c r="B65" s="252">
        <v>45505</v>
      </c>
      <c r="C65" s="185">
        <v>15158.91</v>
      </c>
      <c r="D65" s="185">
        <v>14658.69</v>
      </c>
      <c r="E65" s="184">
        <v>3.3000000000000002E-2</v>
      </c>
      <c r="F65" s="218">
        <v>41</v>
      </c>
      <c r="G65" s="185" t="s">
        <v>227</v>
      </c>
      <c r="H65" s="255"/>
      <c r="I65" s="1"/>
      <c r="J65" s="1"/>
    </row>
    <row r="66" spans="2:10" ht="13.9">
      <c r="B66" s="254">
        <v>45536</v>
      </c>
      <c r="C66" s="185">
        <f t="shared" ref="C66:C97" si="9">_xlfn.FORECAST.LINEAR(B66,C25:C65,B25:B65)</f>
        <v>17129.260183137143</v>
      </c>
      <c r="D66" s="185">
        <f t="shared" ref="D66:D97" si="10">_xlfn.FORECAST.LINEAR(B66,D25:D65,B25:B65)*G66</f>
        <v>16563.226038364552</v>
      </c>
      <c r="E66" s="184">
        <f t="shared" ref="E66:E97" si="11">(C66-D66)/C66</f>
        <v>3.3044868179994268E-2</v>
      </c>
      <c r="F66" s="218">
        <v>42</v>
      </c>
      <c r="G66" s="183">
        <v>1.0000800000000001</v>
      </c>
      <c r="H66" s="1"/>
      <c r="I66" s="1"/>
      <c r="J66" s="1"/>
    </row>
    <row r="67" spans="2:10" ht="13.9">
      <c r="B67" s="252">
        <v>45566</v>
      </c>
      <c r="C67" s="185">
        <f t="shared" si="9"/>
        <v>17300.062563651649</v>
      </c>
      <c r="D67" s="185">
        <f t="shared" si="10"/>
        <v>16728.457875907709</v>
      </c>
      <c r="E67" s="184">
        <f t="shared" si="11"/>
        <v>3.304061390765789E-2</v>
      </c>
      <c r="F67" s="218">
        <v>43</v>
      </c>
      <c r="G67" s="183">
        <f t="shared" ref="G67:G98" si="12">G66+0.000001</f>
        <v>1.000081</v>
      </c>
      <c r="H67" s="1"/>
      <c r="I67" s="1"/>
      <c r="J67" s="1"/>
    </row>
    <row r="68" spans="2:10" ht="13.9">
      <c r="B68" s="252">
        <v>45597</v>
      </c>
      <c r="C68" s="185">
        <f t="shared" si="9"/>
        <v>17426.819476455217</v>
      </c>
      <c r="D68" s="185">
        <f t="shared" si="10"/>
        <v>16853.467677816534</v>
      </c>
      <c r="E68" s="184">
        <f t="shared" si="11"/>
        <v>3.2900541571186832E-2</v>
      </c>
      <c r="F68" s="218">
        <v>44</v>
      </c>
      <c r="G68" s="183">
        <f t="shared" si="12"/>
        <v>1.0000819999999999</v>
      </c>
      <c r="H68" s="1"/>
      <c r="I68" s="1"/>
      <c r="J68" s="1"/>
    </row>
    <row r="69" spans="2:10" ht="13.9">
      <c r="B69" s="252">
        <v>45627</v>
      </c>
      <c r="C69" s="185">
        <f t="shared" si="9"/>
        <v>17466.793287670444</v>
      </c>
      <c r="D69" s="185">
        <f t="shared" si="10"/>
        <v>16891.934039121606</v>
      </c>
      <c r="E69" s="184">
        <f t="shared" si="11"/>
        <v>3.2911550453546726E-2</v>
      </c>
      <c r="F69" s="218">
        <v>45</v>
      </c>
      <c r="G69" s="183">
        <f t="shared" si="12"/>
        <v>1.0000829999999998</v>
      </c>
      <c r="H69" s="1"/>
      <c r="I69" s="1"/>
      <c r="J69" s="1"/>
    </row>
    <row r="70" spans="2:10" ht="13.9">
      <c r="B70" s="252">
        <v>45658</v>
      </c>
      <c r="C70" s="185">
        <f t="shared" si="9"/>
        <v>17513.802229807246</v>
      </c>
      <c r="D70" s="185">
        <f t="shared" si="10"/>
        <v>16936.561359185627</v>
      </c>
      <c r="E70" s="184">
        <f t="shared" si="11"/>
        <v>3.2959197725734066E-2</v>
      </c>
      <c r="F70" s="218">
        <v>46</v>
      </c>
      <c r="G70" s="183">
        <f t="shared" si="12"/>
        <v>1.0000839999999998</v>
      </c>
      <c r="H70" s="1"/>
      <c r="I70" s="1"/>
      <c r="J70" s="1"/>
    </row>
    <row r="71" spans="2:10" ht="13.9">
      <c r="B71" s="252">
        <v>45689</v>
      </c>
      <c r="C71" s="185">
        <f t="shared" si="9"/>
        <v>17594.01735120287</v>
      </c>
      <c r="D71" s="185">
        <f t="shared" si="10"/>
        <v>17012.90165964203</v>
      </c>
      <c r="E71" s="184">
        <f t="shared" si="11"/>
        <v>3.3029164400654121E-2</v>
      </c>
      <c r="F71" s="218">
        <v>47</v>
      </c>
      <c r="G71" s="183">
        <f t="shared" si="12"/>
        <v>1.0000849999999997</v>
      </c>
      <c r="H71" s="1"/>
      <c r="I71" s="1"/>
      <c r="J71" s="1"/>
    </row>
    <row r="72" spans="2:10" ht="13.9">
      <c r="B72" s="252">
        <v>45717</v>
      </c>
      <c r="C72" s="185">
        <f t="shared" si="9"/>
        <v>17591.144903616747</v>
      </c>
      <c r="D72" s="185">
        <f t="shared" si="10"/>
        <v>17010.19413262721</v>
      </c>
      <c r="E72" s="184">
        <f t="shared" si="11"/>
        <v>3.3025182509302919E-2</v>
      </c>
      <c r="F72" s="218">
        <v>48</v>
      </c>
      <c r="G72" s="183">
        <f t="shared" si="12"/>
        <v>1.0000859999999996</v>
      </c>
      <c r="H72" s="205"/>
      <c r="I72" s="205"/>
      <c r="J72" s="255"/>
    </row>
    <row r="73" spans="2:10" ht="13.9">
      <c r="B73" s="252">
        <v>45748</v>
      </c>
      <c r="C73" s="185">
        <f t="shared" si="9"/>
        <v>17635.090663548908</v>
      </c>
      <c r="D73" s="185">
        <f t="shared" si="10"/>
        <v>17053.388093305359</v>
      </c>
      <c r="E73" s="184">
        <f t="shared" si="11"/>
        <v>3.2985516283503297E-2</v>
      </c>
      <c r="F73" s="218">
        <v>49</v>
      </c>
      <c r="G73" s="183">
        <f t="shared" si="12"/>
        <v>1.0000869999999995</v>
      </c>
      <c r="H73" s="1"/>
      <c r="I73" s="1"/>
      <c r="J73" s="1"/>
    </row>
    <row r="74" spans="2:10" ht="13.9">
      <c r="B74" s="252">
        <v>45778</v>
      </c>
      <c r="C74" s="185">
        <f t="shared" si="9"/>
        <v>17675.932299988825</v>
      </c>
      <c r="D74" s="185">
        <f t="shared" si="10"/>
        <v>17094.439259145343</v>
      </c>
      <c r="E74" s="184">
        <f t="shared" si="11"/>
        <v>3.2897446707455924E-2</v>
      </c>
      <c r="F74" s="218">
        <v>50</v>
      </c>
      <c r="G74" s="183">
        <f t="shared" si="12"/>
        <v>1.0000879999999994</v>
      </c>
      <c r="H74" s="1"/>
      <c r="I74" s="1"/>
      <c r="J74" s="1"/>
    </row>
    <row r="75" spans="2:10" ht="13.9">
      <c r="B75" s="252">
        <v>45809</v>
      </c>
      <c r="C75" s="185">
        <f t="shared" si="9"/>
        <v>17700.827413544641</v>
      </c>
      <c r="D75" s="185">
        <f t="shared" si="10"/>
        <v>17120.48188791264</v>
      </c>
      <c r="E75" s="184">
        <f t="shared" si="11"/>
        <v>3.2786350156034053E-2</v>
      </c>
      <c r="F75" s="218">
        <v>51</v>
      </c>
      <c r="G75" s="183">
        <f t="shared" si="12"/>
        <v>1.0000889999999993</v>
      </c>
      <c r="H75" s="1"/>
      <c r="I75" s="1"/>
      <c r="J75" s="1"/>
    </row>
    <row r="76" spans="2:10" ht="13.9">
      <c r="B76" s="252">
        <v>45839</v>
      </c>
      <c r="C76" s="185">
        <f t="shared" si="9"/>
        <v>17733.863983023315</v>
      </c>
      <c r="D76" s="185">
        <f t="shared" si="10"/>
        <v>17153.294321887901</v>
      </c>
      <c r="E76" s="184">
        <f t="shared" si="11"/>
        <v>3.273791102103836E-2</v>
      </c>
      <c r="F76" s="218">
        <v>52</v>
      </c>
      <c r="G76" s="183">
        <f t="shared" si="12"/>
        <v>1.0000899999999993</v>
      </c>
      <c r="H76" s="1"/>
      <c r="I76" s="1"/>
      <c r="J76" s="1"/>
    </row>
    <row r="77" spans="2:10" ht="13.9">
      <c r="B77" s="252">
        <v>45870</v>
      </c>
      <c r="C77" s="185">
        <f t="shared" si="9"/>
        <v>17746.944022463213</v>
      </c>
      <c r="D77" s="185">
        <f t="shared" si="10"/>
        <v>17165.709995664034</v>
      </c>
      <c r="E77" s="184">
        <f t="shared" si="11"/>
        <v>3.2751217678011549E-2</v>
      </c>
      <c r="F77" s="218">
        <v>53</v>
      </c>
      <c r="G77" s="183">
        <f t="shared" si="12"/>
        <v>1.0000909999999992</v>
      </c>
      <c r="H77" s="1"/>
      <c r="I77" s="1"/>
      <c r="J77" s="1"/>
    </row>
    <row r="78" spans="2:10" ht="13.9">
      <c r="B78" s="252">
        <v>45901</v>
      </c>
      <c r="C78" s="185">
        <f t="shared" si="9"/>
        <v>17910.577054096517</v>
      </c>
      <c r="D78" s="185">
        <f t="shared" si="10"/>
        <v>17323.913111112688</v>
      </c>
      <c r="E78" s="184">
        <f t="shared" si="11"/>
        <v>3.2755167028504346E-2</v>
      </c>
      <c r="F78" s="218">
        <v>54</v>
      </c>
      <c r="G78" s="183">
        <f t="shared" si="12"/>
        <v>1.0000919999999991</v>
      </c>
      <c r="H78" s="1"/>
      <c r="I78" s="1"/>
      <c r="J78" s="1"/>
    </row>
    <row r="79" spans="2:10" ht="13.9">
      <c r="B79" s="252">
        <v>45931</v>
      </c>
      <c r="C79" s="185">
        <f t="shared" si="9"/>
        <v>18099.598160279143</v>
      </c>
      <c r="D79" s="185">
        <f t="shared" si="10"/>
        <v>17505.681119240642</v>
      </c>
      <c r="E79" s="184">
        <f t="shared" si="11"/>
        <v>3.2813824692632929E-2</v>
      </c>
      <c r="F79" s="218">
        <v>55</v>
      </c>
      <c r="G79" s="183">
        <f t="shared" si="12"/>
        <v>1.000092999999999</v>
      </c>
      <c r="H79" s="1"/>
      <c r="I79" s="1"/>
      <c r="J79" s="1"/>
    </row>
    <row r="80" spans="2:10" ht="13.9">
      <c r="B80" s="252">
        <v>45962</v>
      </c>
      <c r="C80" s="185">
        <f t="shared" si="9"/>
        <v>18310.942046317243</v>
      </c>
      <c r="D80" s="185">
        <f t="shared" si="10"/>
        <v>17710.390832853194</v>
      </c>
      <c r="E80" s="184">
        <f t="shared" si="11"/>
        <v>3.2797395783622903E-2</v>
      </c>
      <c r="F80" s="218">
        <v>56</v>
      </c>
      <c r="G80" s="183">
        <f t="shared" si="12"/>
        <v>1.0000939999999989</v>
      </c>
      <c r="H80" s="1"/>
      <c r="I80" s="1"/>
      <c r="J80" s="1"/>
    </row>
    <row r="81" spans="2:10" ht="13.9">
      <c r="B81" s="252">
        <v>45992</v>
      </c>
      <c r="C81" s="185">
        <f t="shared" si="9"/>
        <v>18426.077172004152</v>
      </c>
      <c r="D81" s="185">
        <f t="shared" si="10"/>
        <v>17821.821599788476</v>
      </c>
      <c r="E81" s="184">
        <f t="shared" si="11"/>
        <v>3.2793500568518055E-2</v>
      </c>
      <c r="F81" s="218">
        <v>57</v>
      </c>
      <c r="G81" s="183">
        <f t="shared" si="12"/>
        <v>1.0000949999999988</v>
      </c>
      <c r="H81" s="1"/>
      <c r="I81" s="1"/>
      <c r="J81" s="1"/>
    </row>
    <row r="82" spans="2:10" ht="13.9">
      <c r="B82" s="252">
        <v>46023</v>
      </c>
      <c r="C82" s="185">
        <f t="shared" si="9"/>
        <v>18440.423353511767</v>
      </c>
      <c r="D82" s="185">
        <f t="shared" si="10"/>
        <v>17834.566069388227</v>
      </c>
      <c r="E82" s="184">
        <f t="shared" si="11"/>
        <v>3.2854846795486475E-2</v>
      </c>
      <c r="F82" s="218">
        <v>58</v>
      </c>
      <c r="G82" s="183">
        <f t="shared" si="12"/>
        <v>1.0000959999999988</v>
      </c>
      <c r="H82" s="1"/>
      <c r="I82" s="1"/>
      <c r="J82" s="1"/>
    </row>
    <row r="83" spans="2:10" ht="13.9">
      <c r="B83" s="252">
        <v>46054</v>
      </c>
      <c r="C83" s="185">
        <f t="shared" si="9"/>
        <v>18464.080411555362</v>
      </c>
      <c r="D83" s="185">
        <f t="shared" si="10"/>
        <v>17857.939355815139</v>
      </c>
      <c r="E83" s="184">
        <f t="shared" si="11"/>
        <v>3.2828120449523303E-2</v>
      </c>
      <c r="F83" s="218">
        <v>59</v>
      </c>
      <c r="G83" s="183">
        <f t="shared" si="12"/>
        <v>1.0000969999999987</v>
      </c>
      <c r="H83" s="1"/>
      <c r="I83" s="1"/>
      <c r="J83" s="1"/>
    </row>
    <row r="84" spans="2:10" ht="13.9">
      <c r="B84" s="252">
        <v>46082</v>
      </c>
      <c r="C84" s="185">
        <f t="shared" si="9"/>
        <v>18439.940582855008</v>
      </c>
      <c r="D84" s="185">
        <f t="shared" si="10"/>
        <v>17834.392790573434</v>
      </c>
      <c r="E84" s="184">
        <f t="shared" si="11"/>
        <v>3.2838923182030022E-2</v>
      </c>
      <c r="F84" s="218">
        <v>60</v>
      </c>
      <c r="G84" s="183">
        <f t="shared" si="12"/>
        <v>1.0000979999999986</v>
      </c>
      <c r="H84" s="205">
        <f>SUM(C73:C84)</f>
        <v>216584.29716318811</v>
      </c>
      <c r="I84" s="205">
        <f>SUM(D73:D84)</f>
        <v>209476.0184366871</v>
      </c>
      <c r="J84" s="255">
        <f>(H84-I84)/H84</f>
        <v>3.2819917323670018E-2</v>
      </c>
    </row>
    <row r="85" spans="2:10" ht="13.9">
      <c r="B85" s="252">
        <v>46113</v>
      </c>
      <c r="C85" s="185">
        <f t="shared" si="9"/>
        <v>18407.625032198543</v>
      </c>
      <c r="D85" s="185">
        <f t="shared" si="10"/>
        <v>17805.106963456696</v>
      </c>
      <c r="E85" s="184">
        <f t="shared" si="11"/>
        <v>3.2731982952060618E-2</v>
      </c>
      <c r="F85" s="218">
        <v>61</v>
      </c>
      <c r="G85" s="183">
        <f t="shared" si="12"/>
        <v>1.0000989999999985</v>
      </c>
      <c r="H85" s="1"/>
      <c r="I85" s="1"/>
      <c r="J85" s="1"/>
    </row>
    <row r="86" spans="2:10" ht="13.9">
      <c r="B86" s="252">
        <v>46143</v>
      </c>
      <c r="C86" s="185">
        <f t="shared" si="9"/>
        <v>18423.848979639355</v>
      </c>
      <c r="D86" s="185">
        <f t="shared" si="10"/>
        <v>17821.777512988559</v>
      </c>
      <c r="E86" s="184">
        <f t="shared" si="11"/>
        <v>3.2678918901048279E-2</v>
      </c>
      <c r="F86" s="218">
        <v>62</v>
      </c>
      <c r="G86" s="183">
        <f t="shared" si="12"/>
        <v>1.0000999999999984</v>
      </c>
      <c r="H86" s="1"/>
      <c r="I86" s="1"/>
      <c r="J86" s="1"/>
    </row>
    <row r="87" spans="2:10" ht="13.9">
      <c r="B87" s="252">
        <v>46174</v>
      </c>
      <c r="C87" s="185">
        <f t="shared" si="9"/>
        <v>18489.450354518747</v>
      </c>
      <c r="D87" s="185">
        <f t="shared" si="10"/>
        <v>17886.98695731398</v>
      </c>
      <c r="E87" s="184">
        <f t="shared" si="11"/>
        <v>3.2584170197224233E-2</v>
      </c>
      <c r="F87" s="218">
        <v>63</v>
      </c>
      <c r="G87" s="183">
        <f t="shared" si="12"/>
        <v>1.0001009999999984</v>
      </c>
      <c r="H87" s="1"/>
      <c r="I87" s="1"/>
      <c r="J87" s="1"/>
    </row>
    <row r="88" spans="2:10" ht="13.9">
      <c r="B88" s="252">
        <v>46204</v>
      </c>
      <c r="C88" s="185">
        <f t="shared" si="9"/>
        <v>18543.505624533354</v>
      </c>
      <c r="D88" s="185">
        <f t="shared" si="10"/>
        <v>17941.326990573576</v>
      </c>
      <c r="E88" s="184">
        <f t="shared" si="11"/>
        <v>3.2473829175163428E-2</v>
      </c>
      <c r="F88" s="218">
        <v>64</v>
      </c>
      <c r="G88" s="183">
        <f t="shared" si="12"/>
        <v>1.0001019999999983</v>
      </c>
      <c r="H88" s="1"/>
      <c r="I88" s="1"/>
      <c r="J88" s="1"/>
    </row>
    <row r="89" spans="2:10" ht="13.9">
      <c r="B89" s="252">
        <v>46235</v>
      </c>
      <c r="C89" s="185">
        <f t="shared" si="9"/>
        <v>18567.917057207364</v>
      </c>
      <c r="D89" s="185">
        <f t="shared" si="10"/>
        <v>17964.762337914075</v>
      </c>
      <c r="E89" s="184">
        <f t="shared" si="11"/>
        <v>3.2483703876691257E-2</v>
      </c>
      <c r="F89" s="218">
        <v>65</v>
      </c>
      <c r="G89" s="183">
        <f t="shared" si="12"/>
        <v>1.0001029999999982</v>
      </c>
      <c r="H89" s="1"/>
      <c r="I89" s="1"/>
      <c r="J89" s="1"/>
    </row>
    <row r="90" spans="2:10" ht="13.9">
      <c r="B90" s="252">
        <v>46266</v>
      </c>
      <c r="C90" s="185">
        <f t="shared" si="9"/>
        <v>18669.664516303281</v>
      </c>
      <c r="D90" s="185">
        <f t="shared" si="10"/>
        <v>18064.451543102685</v>
      </c>
      <c r="E90" s="184">
        <f t="shared" si="11"/>
        <v>3.2416917436952013E-2</v>
      </c>
      <c r="F90" s="218">
        <v>66</v>
      </c>
      <c r="G90" s="183">
        <f t="shared" si="12"/>
        <v>1.0001039999999981</v>
      </c>
      <c r="H90" s="1"/>
      <c r="I90" s="1"/>
      <c r="J90" s="1"/>
    </row>
    <row r="91" spans="2:10" ht="13.9">
      <c r="B91" s="252">
        <v>46296</v>
      </c>
      <c r="C91" s="185">
        <f t="shared" si="9"/>
        <v>18779.631992913957</v>
      </c>
      <c r="D91" s="185">
        <f t="shared" si="10"/>
        <v>18167.994345491024</v>
      </c>
      <c r="E91" s="184">
        <f t="shared" si="11"/>
        <v>3.2569203041556916E-2</v>
      </c>
      <c r="F91" s="218">
        <v>67</v>
      </c>
      <c r="G91" s="183">
        <f t="shared" si="12"/>
        <v>1.000104999999998</v>
      </c>
      <c r="H91" s="1"/>
      <c r="I91" s="1"/>
      <c r="J91" s="1"/>
    </row>
    <row r="92" spans="2:10" ht="13.9">
      <c r="B92" s="252">
        <v>46327</v>
      </c>
      <c r="C92" s="185">
        <f t="shared" si="9"/>
        <v>18933.401085260033</v>
      </c>
      <c r="D92" s="185">
        <f t="shared" si="10"/>
        <v>18314.610818264995</v>
      </c>
      <c r="E92" s="184">
        <f t="shared" si="11"/>
        <v>3.2682467571913246E-2</v>
      </c>
      <c r="F92" s="218">
        <v>68</v>
      </c>
      <c r="G92" s="183">
        <f t="shared" si="12"/>
        <v>1.0001059999999979</v>
      </c>
      <c r="H92" s="1"/>
      <c r="I92" s="1"/>
      <c r="J92" s="1"/>
    </row>
    <row r="93" spans="2:10" ht="13.9">
      <c r="B93" s="252">
        <v>46357</v>
      </c>
      <c r="C93" s="185">
        <f t="shared" si="9"/>
        <v>19062.729839171792</v>
      </c>
      <c r="D93" s="185">
        <f t="shared" si="10"/>
        <v>18438.537280034991</v>
      </c>
      <c r="E93" s="184">
        <f t="shared" si="11"/>
        <v>3.274413289193006E-2</v>
      </c>
      <c r="F93" s="218">
        <v>69</v>
      </c>
      <c r="G93" s="183">
        <f t="shared" si="12"/>
        <v>1.0001069999999979</v>
      </c>
      <c r="H93" s="1"/>
      <c r="I93" s="1"/>
      <c r="J93" s="1"/>
    </row>
    <row r="94" spans="2:10" ht="13.9">
      <c r="B94" s="252">
        <v>46388</v>
      </c>
      <c r="C94" s="185">
        <f t="shared" si="9"/>
        <v>19076.954786391478</v>
      </c>
      <c r="D94" s="185">
        <f t="shared" si="10"/>
        <v>18452.422405204979</v>
      </c>
      <c r="E94" s="184">
        <f t="shared" si="11"/>
        <v>3.2737530081688282E-2</v>
      </c>
      <c r="F94" s="218">
        <v>70</v>
      </c>
      <c r="G94" s="183">
        <f t="shared" si="12"/>
        <v>1.0001079999999978</v>
      </c>
      <c r="H94" s="1"/>
      <c r="I94" s="1"/>
      <c r="J94" s="1"/>
    </row>
    <row r="95" spans="2:10" ht="13.9">
      <c r="B95" s="252">
        <v>46419</v>
      </c>
      <c r="C95" s="185">
        <f t="shared" si="9"/>
        <v>19147.735985316176</v>
      </c>
      <c r="D95" s="185">
        <f t="shared" si="10"/>
        <v>18521.287369947066</v>
      </c>
      <c r="E95" s="184">
        <f t="shared" si="11"/>
        <v>3.2716589358110802E-2</v>
      </c>
      <c r="F95" s="218">
        <v>71</v>
      </c>
      <c r="G95" s="183">
        <f t="shared" si="12"/>
        <v>1.0001089999999977</v>
      </c>
      <c r="H95" s="1"/>
      <c r="I95" s="1"/>
      <c r="J95" s="1"/>
    </row>
    <row r="96" spans="2:10" ht="13.9">
      <c r="B96" s="252">
        <v>46447</v>
      </c>
      <c r="C96" s="185">
        <f t="shared" si="9"/>
        <v>19170.969189084717</v>
      </c>
      <c r="D96" s="185">
        <f t="shared" si="10"/>
        <v>18543.69599492081</v>
      </c>
      <c r="E96" s="184">
        <f t="shared" si="11"/>
        <v>3.2719952130592034E-2</v>
      </c>
      <c r="F96" s="218">
        <v>72</v>
      </c>
      <c r="G96" s="183">
        <f t="shared" si="12"/>
        <v>1.0001099999999976</v>
      </c>
      <c r="H96" s="205">
        <f>SUM(C85:C96)</f>
        <v>225273.43444253877</v>
      </c>
      <c r="I96" s="205">
        <f>SUM(D85:D96)</f>
        <v>217922.9605192134</v>
      </c>
      <c r="J96" s="255">
        <f>(H96-I96)/H96</f>
        <v>3.2629119991510906E-2</v>
      </c>
    </row>
    <row r="97" spans="2:10" ht="13.9">
      <c r="B97" s="252">
        <v>46478</v>
      </c>
      <c r="C97" s="185">
        <f t="shared" si="9"/>
        <v>19306.405175774154</v>
      </c>
      <c r="D97" s="185">
        <f t="shared" si="10"/>
        <v>18672.322923508382</v>
      </c>
      <c r="E97" s="184">
        <f t="shared" si="11"/>
        <v>3.2843102923242523E-2</v>
      </c>
      <c r="F97" s="218">
        <v>73</v>
      </c>
      <c r="G97" s="183">
        <f t="shared" si="12"/>
        <v>1.0001109999999975</v>
      </c>
      <c r="H97" s="1"/>
      <c r="I97" s="1"/>
      <c r="J97" s="1"/>
    </row>
    <row r="98" spans="2:10" ht="13.9">
      <c r="B98" s="252">
        <v>46508</v>
      </c>
      <c r="C98" s="185">
        <f t="shared" ref="C98:C129" si="13">_xlfn.FORECAST.LINEAR(B98,C57:C97,B57:B97)</f>
        <v>19375.426635600175</v>
      </c>
      <c r="D98" s="185">
        <f t="shared" ref="D98:D129" si="14">_xlfn.FORECAST.LINEAR(B98,D57:D97,B57:B97)*G98</f>
        <v>18739.52624169322</v>
      </c>
      <c r="E98" s="184">
        <f t="shared" ref="E98:E129" si="15">(C98-D98)/C98</f>
        <v>3.2819942800049601E-2</v>
      </c>
      <c r="F98" s="218">
        <v>74</v>
      </c>
      <c r="G98" s="183">
        <f t="shared" si="12"/>
        <v>1.0001119999999974</v>
      </c>
      <c r="H98" s="1"/>
      <c r="I98" s="1"/>
      <c r="J98" s="1"/>
    </row>
    <row r="99" spans="2:10" ht="13.9">
      <c r="B99" s="252">
        <v>46539</v>
      </c>
      <c r="C99" s="185">
        <f t="shared" si="13"/>
        <v>19410.159664807768</v>
      </c>
      <c r="D99" s="185">
        <f t="shared" si="14"/>
        <v>18775.579203229387</v>
      </c>
      <c r="E99" s="184">
        <f t="shared" si="15"/>
        <v>3.2693211830139082E-2</v>
      </c>
      <c r="F99" s="218">
        <v>75</v>
      </c>
      <c r="G99" s="183">
        <f t="shared" ref="G99:G132" si="16">G98+0.000001</f>
        <v>1.0001129999999974</v>
      </c>
      <c r="H99" s="1"/>
      <c r="I99" s="1"/>
      <c r="J99" s="1"/>
    </row>
    <row r="100" spans="2:10" ht="13.9">
      <c r="B100" s="252">
        <v>46569</v>
      </c>
      <c r="C100" s="185">
        <f t="shared" si="13"/>
        <v>19477.65687397393</v>
      </c>
      <c r="D100" s="185">
        <f t="shared" si="14"/>
        <v>18844.719215557969</v>
      </c>
      <c r="E100" s="184">
        <f t="shared" si="15"/>
        <v>3.249557493035489E-2</v>
      </c>
      <c r="F100" s="218">
        <v>76</v>
      </c>
      <c r="G100" s="183">
        <f t="shared" si="16"/>
        <v>1.0001139999999973</v>
      </c>
      <c r="H100" s="1"/>
      <c r="I100" s="1"/>
      <c r="J100" s="1"/>
    </row>
    <row r="101" spans="2:10" ht="13.9">
      <c r="B101" s="252">
        <v>46600</v>
      </c>
      <c r="C101" s="185">
        <f t="shared" si="13"/>
        <v>19527.601677020779</v>
      </c>
      <c r="D101" s="185">
        <f t="shared" si="14"/>
        <v>18895.543889726705</v>
      </c>
      <c r="E101" s="184">
        <f t="shared" si="15"/>
        <v>3.2367404750878938E-2</v>
      </c>
      <c r="F101" s="218">
        <v>77</v>
      </c>
      <c r="G101" s="183">
        <f t="shared" si="16"/>
        <v>1.0001149999999972</v>
      </c>
      <c r="H101" s="1"/>
      <c r="I101" s="1"/>
      <c r="J101" s="1"/>
    </row>
    <row r="102" spans="2:10" ht="13.9">
      <c r="B102" s="252">
        <v>46631</v>
      </c>
      <c r="C102" s="185">
        <f t="shared" si="13"/>
        <v>19660.777006318953</v>
      </c>
      <c r="D102" s="185">
        <f t="shared" si="14"/>
        <v>19026.066529597389</v>
      </c>
      <c r="E102" s="184">
        <f t="shared" si="15"/>
        <v>3.2283082022524792E-2</v>
      </c>
      <c r="F102" s="218">
        <v>78</v>
      </c>
      <c r="G102" s="183">
        <f t="shared" si="16"/>
        <v>1.0001159999999971</v>
      </c>
      <c r="H102" s="1"/>
      <c r="I102" s="1"/>
      <c r="J102" s="1"/>
    </row>
    <row r="103" spans="2:10" ht="13.9">
      <c r="B103" s="252">
        <v>46661</v>
      </c>
      <c r="C103" s="185">
        <f t="shared" si="13"/>
        <v>19795.765403321449</v>
      </c>
      <c r="D103" s="185">
        <f t="shared" si="14"/>
        <v>19156.11114878099</v>
      </c>
      <c r="E103" s="184">
        <f t="shared" si="15"/>
        <v>3.2312681096591203E-2</v>
      </c>
      <c r="F103" s="218">
        <v>79</v>
      </c>
      <c r="G103" s="183">
        <f t="shared" si="16"/>
        <v>1.000116999999997</v>
      </c>
      <c r="H103" s="1"/>
      <c r="I103" s="1"/>
      <c r="J103" s="1"/>
    </row>
    <row r="104" spans="2:10" ht="13.9">
      <c r="B104" s="252">
        <v>46692</v>
      </c>
      <c r="C104" s="185">
        <f t="shared" si="13"/>
        <v>19957.697025608693</v>
      </c>
      <c r="D104" s="185">
        <f t="shared" si="14"/>
        <v>19313.922948602361</v>
      </c>
      <c r="E104" s="184">
        <f t="shared" si="15"/>
        <v>3.2256932058857997E-2</v>
      </c>
      <c r="F104" s="218">
        <v>80</v>
      </c>
      <c r="G104" s="183">
        <f t="shared" si="16"/>
        <v>1.000117999999997</v>
      </c>
      <c r="H104" s="1"/>
      <c r="I104" s="1"/>
      <c r="J104" s="1"/>
    </row>
    <row r="105" spans="2:10" ht="13.9">
      <c r="B105" s="252">
        <v>46722</v>
      </c>
      <c r="C105" s="185">
        <f t="shared" si="13"/>
        <v>20016.484832736489</v>
      </c>
      <c r="D105" s="185">
        <f t="shared" si="14"/>
        <v>19369.535101677826</v>
      </c>
      <c r="E105" s="184">
        <f t="shared" si="15"/>
        <v>3.23208463656212E-2</v>
      </c>
      <c r="F105" s="218">
        <v>81</v>
      </c>
      <c r="G105" s="183">
        <f t="shared" si="16"/>
        <v>1.0001189999999969</v>
      </c>
      <c r="H105" s="1"/>
      <c r="I105" s="1"/>
      <c r="J105" s="1"/>
    </row>
    <row r="106" spans="2:10" ht="13.9">
      <c r="B106" s="252">
        <v>46753</v>
      </c>
      <c r="C106" s="185">
        <f t="shared" si="13"/>
        <v>20012.566357835458</v>
      </c>
      <c r="D106" s="185">
        <f t="shared" si="14"/>
        <v>19365.998420047956</v>
      </c>
      <c r="E106" s="184">
        <f t="shared" si="15"/>
        <v>3.2308097133896742E-2</v>
      </c>
      <c r="F106" s="218">
        <v>82</v>
      </c>
      <c r="G106" s="183">
        <f t="shared" si="16"/>
        <v>1.0001199999999968</v>
      </c>
      <c r="H106" s="1"/>
      <c r="I106" s="1"/>
      <c r="J106" s="1"/>
    </row>
    <row r="107" spans="2:10" ht="13.9">
      <c r="B107" s="252">
        <v>46784</v>
      </c>
      <c r="C107" s="185">
        <f t="shared" si="13"/>
        <v>19996.613918692179</v>
      </c>
      <c r="D107" s="185">
        <f t="shared" si="14"/>
        <v>19351.161649069869</v>
      </c>
      <c r="E107" s="184">
        <f t="shared" si="15"/>
        <v>3.227807829099319E-2</v>
      </c>
      <c r="F107" s="218">
        <v>83</v>
      </c>
      <c r="G107" s="183">
        <f t="shared" si="16"/>
        <v>1.0001209999999967</v>
      </c>
      <c r="H107" s="1"/>
      <c r="I107" s="1"/>
      <c r="J107" s="1"/>
    </row>
    <row r="108" spans="2:10" ht="13.9">
      <c r="B108" s="252">
        <v>46813</v>
      </c>
      <c r="C108" s="185">
        <f t="shared" si="13"/>
        <v>20060.173726059395</v>
      </c>
      <c r="D108" s="185">
        <f t="shared" si="14"/>
        <v>19413.166465065951</v>
      </c>
      <c r="E108" s="184">
        <f t="shared" si="15"/>
        <v>3.2253322918781163E-2</v>
      </c>
      <c r="F108" s="218">
        <v>84</v>
      </c>
      <c r="G108" s="183">
        <f t="shared" si="16"/>
        <v>1.0001219999999966</v>
      </c>
      <c r="H108" s="205">
        <f>SUM(C97:C108)</f>
        <v>236597.32829774939</v>
      </c>
      <c r="I108" s="205">
        <f>SUM(D97:D108)</f>
        <v>228923.65373655799</v>
      </c>
      <c r="J108" s="255">
        <f>(H108-I108)/H108</f>
        <v>3.2433479348229828E-2</v>
      </c>
    </row>
    <row r="109" spans="2:10" ht="13.9">
      <c r="B109" s="252">
        <v>46844</v>
      </c>
      <c r="C109" s="185">
        <f t="shared" si="13"/>
        <v>20133.296966322479</v>
      </c>
      <c r="D109" s="185">
        <f t="shared" si="14"/>
        <v>19484.443052783674</v>
      </c>
      <c r="E109" s="184">
        <f t="shared" si="15"/>
        <v>3.2227901601221166E-2</v>
      </c>
      <c r="F109" s="218">
        <v>85</v>
      </c>
      <c r="G109" s="183">
        <f t="shared" si="16"/>
        <v>1.0001229999999965</v>
      </c>
      <c r="H109" s="1"/>
      <c r="I109" s="1"/>
      <c r="J109" s="1"/>
    </row>
    <row r="110" spans="2:10" ht="13.9">
      <c r="B110" s="252">
        <v>46874</v>
      </c>
      <c r="C110" s="185">
        <f t="shared" si="13"/>
        <v>20207.626842571481</v>
      </c>
      <c r="D110" s="185">
        <f t="shared" si="14"/>
        <v>19557.000759739101</v>
      </c>
      <c r="E110" s="184">
        <f t="shared" si="15"/>
        <v>3.2197055493013313E-2</v>
      </c>
      <c r="F110" s="218">
        <v>86</v>
      </c>
      <c r="G110" s="183">
        <f t="shared" si="16"/>
        <v>1.0001239999999965</v>
      </c>
      <c r="H110" s="1"/>
      <c r="I110" s="1"/>
      <c r="J110" s="1"/>
    </row>
    <row r="111" spans="2:10" ht="13.9">
      <c r="B111" s="252">
        <v>46905</v>
      </c>
      <c r="C111" s="185">
        <f t="shared" si="13"/>
        <v>20283.833097671464</v>
      </c>
      <c r="D111" s="185">
        <f t="shared" si="14"/>
        <v>19631.391167687634</v>
      </c>
      <c r="E111" s="184">
        <f t="shared" si="15"/>
        <v>3.2165613217293179E-2</v>
      </c>
      <c r="F111" s="218">
        <v>87</v>
      </c>
      <c r="G111" s="183">
        <f t="shared" si="16"/>
        <v>1.0001249999999964</v>
      </c>
      <c r="H111" s="1"/>
      <c r="I111" s="1"/>
      <c r="J111" s="1"/>
    </row>
    <row r="112" spans="2:10" ht="13.9">
      <c r="B112" s="252">
        <v>46935</v>
      </c>
      <c r="C112" s="185">
        <f t="shared" si="13"/>
        <v>20357.409925618893</v>
      </c>
      <c r="D112" s="185">
        <f t="shared" si="14"/>
        <v>19703.197165933987</v>
      </c>
      <c r="E112" s="184">
        <f t="shared" si="15"/>
        <v>3.2136345540775713E-2</v>
      </c>
      <c r="F112" s="218">
        <v>88</v>
      </c>
      <c r="G112" s="183">
        <f t="shared" si="16"/>
        <v>1.0001259999999963</v>
      </c>
      <c r="H112" s="1"/>
      <c r="I112" s="1"/>
      <c r="J112" s="1"/>
    </row>
    <row r="113" spans="2:10" ht="13.9">
      <c r="B113" s="252">
        <v>46966</v>
      </c>
      <c r="C113" s="185">
        <f t="shared" si="13"/>
        <v>20434.553695702023</v>
      </c>
      <c r="D113" s="185">
        <f t="shared" si="14"/>
        <v>19778.405533908692</v>
      </c>
      <c r="E113" s="184">
        <f t="shared" si="15"/>
        <v>3.2109737827615892E-2</v>
      </c>
      <c r="F113" s="218">
        <v>89</v>
      </c>
      <c r="G113" s="183">
        <f t="shared" si="16"/>
        <v>1.0001269999999962</v>
      </c>
      <c r="H113" s="1"/>
      <c r="I113" s="1"/>
      <c r="J113" s="1"/>
    </row>
    <row r="114" spans="2:10" ht="13.9">
      <c r="B114" s="252">
        <v>46997</v>
      </c>
      <c r="C114" s="185">
        <f t="shared" si="13"/>
        <v>20509.150084946363</v>
      </c>
      <c r="D114" s="185">
        <f t="shared" si="14"/>
        <v>19851.148397995792</v>
      </c>
      <c r="E114" s="184">
        <f t="shared" si="15"/>
        <v>3.2083323015591046E-2</v>
      </c>
      <c r="F114" s="218">
        <v>90</v>
      </c>
      <c r="G114" s="183">
        <f t="shared" si="16"/>
        <v>1.0001279999999961</v>
      </c>
      <c r="H114" s="1"/>
      <c r="I114" s="1"/>
      <c r="J114" s="1"/>
    </row>
    <row r="115" spans="2:10" ht="13.9">
      <c r="B115" s="252">
        <v>47027</v>
      </c>
      <c r="C115" s="185">
        <f t="shared" si="13"/>
        <v>20580.409256878571</v>
      </c>
      <c r="D115" s="185">
        <f t="shared" si="14"/>
        <v>19920.678523322153</v>
      </c>
      <c r="E115" s="184">
        <f t="shared" si="15"/>
        <v>3.2056249480846309E-2</v>
      </c>
      <c r="F115" s="218">
        <v>91</v>
      </c>
      <c r="G115" s="183">
        <f t="shared" si="16"/>
        <v>1.000128999999996</v>
      </c>
      <c r="H115" s="1"/>
      <c r="I115" s="1"/>
      <c r="J115" s="1"/>
    </row>
    <row r="116" spans="2:10" ht="13.9">
      <c r="B116" s="252">
        <v>47058</v>
      </c>
      <c r="C116" s="185">
        <f t="shared" si="13"/>
        <v>20652.733673416325</v>
      </c>
      <c r="D116" s="185">
        <f t="shared" si="14"/>
        <v>19991.327178296895</v>
      </c>
      <c r="E116" s="184">
        <f t="shared" si="15"/>
        <v>3.2025130695931846E-2</v>
      </c>
      <c r="F116" s="218">
        <v>92</v>
      </c>
      <c r="G116" s="183">
        <f t="shared" si="16"/>
        <v>1.000129999999996</v>
      </c>
      <c r="H116" s="1"/>
      <c r="I116" s="1"/>
      <c r="J116" s="1"/>
    </row>
    <row r="117" spans="2:10" ht="13.9">
      <c r="B117" s="252">
        <v>47088</v>
      </c>
      <c r="C117" s="185">
        <f t="shared" si="13"/>
        <v>20720.27474841394</v>
      </c>
      <c r="D117" s="185">
        <f t="shared" si="14"/>
        <v>20057.444220692378</v>
      </c>
      <c r="E117" s="184">
        <f t="shared" si="15"/>
        <v>3.1989466151856862E-2</v>
      </c>
      <c r="F117" s="218">
        <v>93</v>
      </c>
      <c r="G117" s="183">
        <f t="shared" si="16"/>
        <v>1.0001309999999959</v>
      </c>
      <c r="H117" s="1"/>
      <c r="I117" s="1"/>
      <c r="J117" s="1"/>
    </row>
    <row r="118" spans="2:10" ht="13.9">
      <c r="B118" s="252">
        <v>47119</v>
      </c>
      <c r="C118" s="185">
        <f t="shared" si="13"/>
        <v>20787.812463210576</v>
      </c>
      <c r="D118" s="185">
        <f t="shared" si="14"/>
        <v>20123.636986241534</v>
      </c>
      <c r="E118" s="184">
        <f t="shared" si="15"/>
        <v>3.1950234212689395E-2</v>
      </c>
      <c r="F118" s="218">
        <v>94</v>
      </c>
      <c r="G118" s="183">
        <f t="shared" si="16"/>
        <v>1.0001319999999958</v>
      </c>
      <c r="H118" s="1"/>
      <c r="I118" s="1"/>
      <c r="J118" s="1"/>
    </row>
    <row r="119" spans="2:10" ht="13.9">
      <c r="B119" s="252">
        <v>47150</v>
      </c>
      <c r="C119" s="185">
        <f t="shared" si="13"/>
        <v>20851.498382113947</v>
      </c>
      <c r="D119" s="185">
        <f t="shared" si="14"/>
        <v>20186.118540295221</v>
      </c>
      <c r="E119" s="184">
        <f t="shared" si="15"/>
        <v>3.1910409008758647E-2</v>
      </c>
      <c r="F119" s="218">
        <v>95</v>
      </c>
      <c r="G119" s="183">
        <f t="shared" si="16"/>
        <v>1.0001329999999957</v>
      </c>
      <c r="H119" s="1"/>
      <c r="I119" s="1"/>
      <c r="J119" s="1"/>
    </row>
    <row r="120" spans="2:10" ht="13.9">
      <c r="B120" s="252">
        <v>47178</v>
      </c>
      <c r="C120" s="185">
        <f t="shared" si="13"/>
        <v>20911.819297142676</v>
      </c>
      <c r="D120" s="185">
        <f t="shared" si="14"/>
        <v>20245.320277366209</v>
      </c>
      <c r="E120" s="184">
        <f t="shared" si="15"/>
        <v>3.1871881174276195E-2</v>
      </c>
      <c r="F120" s="218">
        <v>96</v>
      </c>
      <c r="G120" s="183">
        <f t="shared" si="16"/>
        <v>1.0001339999999956</v>
      </c>
      <c r="H120" s="205">
        <f>SUM(C109:C120)</f>
        <v>246430.41843400872</v>
      </c>
      <c r="I120" s="205">
        <f>SUM(D109:D120)</f>
        <v>238530.11180426329</v>
      </c>
      <c r="J120" s="255">
        <f>(H120-I120)/H120</f>
        <v>3.205897502406363E-2</v>
      </c>
    </row>
    <row r="121" spans="2:10" ht="13.9">
      <c r="B121" s="252">
        <v>47209</v>
      </c>
      <c r="C121" s="185">
        <f t="shared" si="13"/>
        <v>20984.640793125829</v>
      </c>
      <c r="D121" s="185">
        <f t="shared" si="14"/>
        <v>20316.625884796391</v>
      </c>
      <c r="E121" s="184">
        <f t="shared" si="15"/>
        <v>3.1833516471164336E-2</v>
      </c>
      <c r="F121" s="218">
        <v>97</v>
      </c>
      <c r="G121" s="183">
        <f t="shared" si="16"/>
        <v>1.0001349999999956</v>
      </c>
      <c r="H121" s="1"/>
      <c r="I121" s="1"/>
      <c r="J121" s="1"/>
    </row>
    <row r="122" spans="2:10" ht="13.9">
      <c r="B122" s="252">
        <v>47239</v>
      </c>
      <c r="C122" s="185">
        <f t="shared" si="13"/>
        <v>21062.83449772578</v>
      </c>
      <c r="D122" s="185">
        <f t="shared" si="14"/>
        <v>20393.140111834859</v>
      </c>
      <c r="E122" s="184">
        <f t="shared" si="15"/>
        <v>3.1795074208233021E-2</v>
      </c>
      <c r="F122" s="218">
        <v>98</v>
      </c>
      <c r="G122" s="183">
        <f t="shared" si="16"/>
        <v>1.0001359999999955</v>
      </c>
      <c r="H122" s="1"/>
      <c r="I122" s="1"/>
      <c r="J122" s="1"/>
    </row>
    <row r="123" spans="2:10" ht="13.9">
      <c r="B123" s="252">
        <v>47270</v>
      </c>
      <c r="C123" s="185">
        <f t="shared" si="13"/>
        <v>21147.374767273664</v>
      </c>
      <c r="D123" s="185">
        <f t="shared" si="14"/>
        <v>20475.827317137486</v>
      </c>
      <c r="E123" s="184">
        <f t="shared" si="15"/>
        <v>3.1755594135278807E-2</v>
      </c>
      <c r="F123" s="218">
        <v>99</v>
      </c>
      <c r="G123" s="183">
        <f t="shared" si="16"/>
        <v>1.0001369999999954</v>
      </c>
      <c r="H123" s="1"/>
      <c r="I123" s="1"/>
      <c r="J123" s="1"/>
    </row>
    <row r="124" spans="2:10" ht="13.9">
      <c r="B124" s="252">
        <v>47300</v>
      </c>
      <c r="C124" s="185">
        <f t="shared" si="13"/>
        <v>21228.71475892108</v>
      </c>
      <c r="D124" s="185">
        <f t="shared" si="14"/>
        <v>20555.354356196367</v>
      </c>
      <c r="E124" s="184">
        <f t="shared" si="15"/>
        <v>3.1719320287241712E-2</v>
      </c>
      <c r="F124" s="218">
        <v>100</v>
      </c>
      <c r="G124" s="183">
        <f t="shared" si="16"/>
        <v>1.0001379999999953</v>
      </c>
      <c r="H124" s="1"/>
      <c r="I124" s="1"/>
      <c r="J124" s="1"/>
    </row>
    <row r="125" spans="2:10" ht="13.9">
      <c r="B125" s="252">
        <v>47331</v>
      </c>
      <c r="C125" s="185">
        <f t="shared" si="13"/>
        <v>21311.708768434488</v>
      </c>
      <c r="D125" s="185">
        <f t="shared" si="14"/>
        <v>20636.523538842368</v>
      </c>
      <c r="E125" s="184">
        <f t="shared" si="15"/>
        <v>3.1681421556968729E-2</v>
      </c>
      <c r="F125" s="218">
        <v>101</v>
      </c>
      <c r="G125" s="183">
        <f t="shared" si="16"/>
        <v>1.0001389999999952</v>
      </c>
      <c r="H125" s="1"/>
      <c r="I125" s="1"/>
      <c r="J125" s="1"/>
    </row>
    <row r="126" spans="2:10" ht="13.9">
      <c r="B126" s="252">
        <v>47362</v>
      </c>
      <c r="C126" s="185">
        <f t="shared" si="13"/>
        <v>21391.649239670878</v>
      </c>
      <c r="D126" s="185">
        <f t="shared" si="14"/>
        <v>20714.732518996268</v>
      </c>
      <c r="E126" s="184">
        <f t="shared" si="15"/>
        <v>3.1643970649035583E-2</v>
      </c>
      <c r="F126" s="218">
        <v>102</v>
      </c>
      <c r="G126" s="183">
        <f t="shared" si="16"/>
        <v>1.0001399999999951</v>
      </c>
      <c r="H126" s="1"/>
      <c r="I126" s="1"/>
      <c r="J126" s="1"/>
    </row>
    <row r="127" spans="2:10" ht="13.9">
      <c r="B127" s="252">
        <v>47392</v>
      </c>
      <c r="C127" s="185">
        <f t="shared" si="13"/>
        <v>21464.586642570648</v>
      </c>
      <c r="D127" s="185">
        <f t="shared" si="14"/>
        <v>20786.248225766263</v>
      </c>
      <c r="E127" s="184">
        <f t="shared" si="15"/>
        <v>3.1602677847941338E-2</v>
      </c>
      <c r="F127" s="218">
        <v>103</v>
      </c>
      <c r="G127" s="183">
        <f t="shared" si="16"/>
        <v>1.0001409999999951</v>
      </c>
      <c r="H127" s="1"/>
      <c r="I127" s="1"/>
      <c r="J127" s="1"/>
    </row>
    <row r="128" spans="2:10" ht="13.9">
      <c r="B128" s="252">
        <v>47423</v>
      </c>
      <c r="C128" s="185">
        <f t="shared" si="13"/>
        <v>21537.139215987307</v>
      </c>
      <c r="D128" s="185">
        <f t="shared" si="14"/>
        <v>20857.4721841674</v>
      </c>
      <c r="E128" s="184">
        <f t="shared" si="15"/>
        <v>3.1557906786217026E-2</v>
      </c>
      <c r="F128" s="218">
        <v>104</v>
      </c>
      <c r="G128" s="183">
        <f t="shared" si="16"/>
        <v>1.000141999999995</v>
      </c>
      <c r="H128" s="1"/>
      <c r="I128" s="1"/>
      <c r="J128" s="1"/>
    </row>
    <row r="129" spans="2:10" ht="13.9">
      <c r="B129" s="252">
        <v>47453</v>
      </c>
      <c r="C129" s="185">
        <f t="shared" si="13"/>
        <v>21606.494587504189</v>
      </c>
      <c r="D129" s="185">
        <f t="shared" si="14"/>
        <v>20925.691532548615</v>
      </c>
      <c r="E129" s="184">
        <f t="shared" si="15"/>
        <v>3.1509185916224751E-2</v>
      </c>
      <c r="F129" s="218">
        <v>105</v>
      </c>
      <c r="G129" s="183">
        <f t="shared" si="16"/>
        <v>1.0001429999999949</v>
      </c>
      <c r="H129" s="1"/>
      <c r="I129" s="1"/>
      <c r="J129" s="1"/>
    </row>
    <row r="130" spans="2:10" ht="13.9">
      <c r="B130" s="252">
        <v>47484</v>
      </c>
      <c r="C130" s="185">
        <f t="shared" ref="C130:C132" si="17">_xlfn.FORECAST.LINEAR(B130,C89:C129,B89:B129)</f>
        <v>21676.854343671424</v>
      </c>
      <c r="D130" s="185">
        <f t="shared" ref="D130:D132" si="18">_xlfn.FORECAST.LINEAR(B130,D89:D129,B89:B129)*G130</f>
        <v>20995.040586459603</v>
      </c>
      <c r="E130" s="184">
        <f t="shared" ref="E130:E132" si="19">(C130-D130)/C130</f>
        <v>3.1453537787454723E-2</v>
      </c>
      <c r="F130" s="218">
        <v>106</v>
      </c>
      <c r="G130" s="183">
        <f t="shared" si="16"/>
        <v>1.0001439999999948</v>
      </c>
      <c r="H130" s="1"/>
      <c r="I130" s="1"/>
      <c r="J130" s="1"/>
    </row>
    <row r="131" spans="2:10" ht="13.9">
      <c r="B131" s="252">
        <v>47515</v>
      </c>
      <c r="C131" s="185">
        <f t="shared" si="17"/>
        <v>21743.948989188939</v>
      </c>
      <c r="D131" s="185">
        <f t="shared" si="18"/>
        <v>21061.267975488925</v>
      </c>
      <c r="E131" s="184">
        <f t="shared" si="19"/>
        <v>3.1396367515369075E-2</v>
      </c>
      <c r="F131" s="218">
        <v>107</v>
      </c>
      <c r="G131" s="183">
        <f t="shared" si="16"/>
        <v>1.0001449999999947</v>
      </c>
      <c r="H131" s="1"/>
      <c r="I131" s="1"/>
      <c r="J131" s="1"/>
    </row>
    <row r="132" spans="2:10" ht="13.9">
      <c r="B132" s="252">
        <v>47543</v>
      </c>
      <c r="C132" s="185">
        <f t="shared" si="17"/>
        <v>21804.290852578139</v>
      </c>
      <c r="D132" s="185">
        <f t="shared" si="18"/>
        <v>21121.00247965875</v>
      </c>
      <c r="E132" s="184">
        <f t="shared" si="19"/>
        <v>3.1337335276767193E-2</v>
      </c>
      <c r="F132" s="218">
        <v>108</v>
      </c>
      <c r="G132" s="183">
        <f t="shared" si="16"/>
        <v>1.0001459999999947</v>
      </c>
      <c r="H132" s="205">
        <f>SUM(C121:C132)</f>
        <v>256960.23745665234</v>
      </c>
      <c r="I132" s="205">
        <f>SUM(D121:D132)</f>
        <v>248838.92671189329</v>
      </c>
      <c r="J132" s="255">
        <f>(H132-I132)/H132</f>
        <v>3.1605320827620506E-2</v>
      </c>
    </row>
    <row r="139" spans="2:10">
      <c r="C139" t="e">
        <f>_xlfn.FORECAST.LINEAR(F73,$C$25:$C$65,$F$25:$F$73)</f>
        <v>#N/A</v>
      </c>
    </row>
    <row r="150" spans="2:7">
      <c r="B150" s="258"/>
      <c r="C150" s="258"/>
    </row>
    <row r="158" spans="2:7">
      <c r="B158" s="259"/>
      <c r="C158" s="259"/>
      <c r="D158" s="259"/>
      <c r="E158" s="259"/>
      <c r="F158" s="259"/>
      <c r="G158" s="259"/>
    </row>
    <row r="163" spans="2:10">
      <c r="B163" s="259"/>
      <c r="C163" s="259"/>
      <c r="D163" s="259"/>
      <c r="E163" s="259"/>
      <c r="F163" s="259"/>
      <c r="G163" s="259"/>
      <c r="H163" s="259"/>
      <c r="I163" s="259"/>
      <c r="J163" s="259"/>
    </row>
    <row r="171" spans="2:10">
      <c r="B171" s="257"/>
    </row>
    <row r="172" spans="2:10">
      <c r="B172" s="257"/>
    </row>
    <row r="173" spans="2:10">
      <c r="B173" s="257"/>
    </row>
    <row r="174" spans="2:10">
      <c r="B174" s="257"/>
    </row>
    <row r="175" spans="2:10">
      <c r="B175" s="257"/>
    </row>
    <row r="176" spans="2:10">
      <c r="B176" s="257"/>
    </row>
    <row r="177" spans="2:2">
      <c r="B177" s="257"/>
    </row>
    <row r="178" spans="2:2">
      <c r="B178" s="257"/>
    </row>
    <row r="179" spans="2:2">
      <c r="B179" s="257"/>
    </row>
    <row r="180" spans="2:2">
      <c r="B180" s="257"/>
    </row>
    <row r="181" spans="2:2">
      <c r="B181" s="257"/>
    </row>
    <row r="182" spans="2:2">
      <c r="B182" s="257"/>
    </row>
    <row r="183" spans="2:2">
      <c r="B183" s="257"/>
    </row>
    <row r="184" spans="2:2">
      <c r="B184" s="25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9E389-B81E-489B-9A5D-C6A1C919B3D7}">
  <dimension ref="B3:K44"/>
  <sheetViews>
    <sheetView topLeftCell="A18" zoomScale="64" workbookViewId="0">
      <selection activeCell="H30" sqref="H30:K44"/>
    </sheetView>
  </sheetViews>
  <sheetFormatPr defaultRowHeight="13.15"/>
  <cols>
    <col min="2" max="2" width="10.42578125" bestFit="1" customWidth="1"/>
    <col min="3" max="3" width="47.7109375" customWidth="1"/>
    <col min="4" max="4" width="17" customWidth="1"/>
    <col min="5" max="5" width="18.7109375" customWidth="1"/>
    <col min="6" max="6" width="21.28515625" customWidth="1"/>
    <col min="7" max="7" width="17" customWidth="1"/>
    <col min="8" max="9" width="22.28515625" customWidth="1"/>
    <col min="10" max="10" width="32.28515625" customWidth="1"/>
    <col min="11" max="11" width="17" customWidth="1"/>
  </cols>
  <sheetData>
    <row r="3" spans="2:11">
      <c r="K3" s="141" t="s">
        <v>228</v>
      </c>
    </row>
    <row r="4" spans="2:11" ht="13.9">
      <c r="B4" s="411" t="s">
        <v>2</v>
      </c>
      <c r="C4" s="411" t="s">
        <v>82</v>
      </c>
      <c r="D4" s="411" t="s">
        <v>51</v>
      </c>
      <c r="E4" s="411"/>
      <c r="F4" s="411"/>
      <c r="G4" s="411"/>
      <c r="H4" s="411"/>
      <c r="I4" s="411"/>
      <c r="J4" s="411"/>
      <c r="K4" s="411"/>
    </row>
    <row r="5" spans="2:11" ht="13.9">
      <c r="B5" s="411"/>
      <c r="C5" s="411"/>
      <c r="D5" s="411" t="s">
        <v>229</v>
      </c>
      <c r="E5" s="411"/>
      <c r="F5" s="430" t="s">
        <v>56</v>
      </c>
      <c r="G5" s="431"/>
      <c r="H5" s="411" t="s">
        <v>230</v>
      </c>
      <c r="I5" s="411"/>
      <c r="J5" s="411"/>
      <c r="K5" s="411"/>
    </row>
    <row r="6" spans="2:11" ht="41.45">
      <c r="B6" s="411"/>
      <c r="C6" s="411"/>
      <c r="D6" s="50" t="s">
        <v>231</v>
      </c>
      <c r="E6" s="50" t="s">
        <v>189</v>
      </c>
      <c r="F6" s="50" t="s">
        <v>232</v>
      </c>
      <c r="G6" s="50" t="s">
        <v>233</v>
      </c>
      <c r="H6" s="50" t="s">
        <v>234</v>
      </c>
      <c r="I6" s="50" t="s">
        <v>235</v>
      </c>
      <c r="J6" s="50" t="s">
        <v>236</v>
      </c>
      <c r="K6" s="50" t="s">
        <v>200</v>
      </c>
    </row>
    <row r="7" spans="2:11" ht="13.9">
      <c r="B7" s="414"/>
      <c r="C7" s="414"/>
      <c r="D7" s="50" t="s">
        <v>201</v>
      </c>
      <c r="E7" s="50" t="s">
        <v>202</v>
      </c>
      <c r="F7" s="50" t="s">
        <v>237</v>
      </c>
      <c r="G7" s="50" t="s">
        <v>204</v>
      </c>
      <c r="H7" s="50" t="s">
        <v>238</v>
      </c>
      <c r="I7" s="50" t="s">
        <v>239</v>
      </c>
      <c r="J7" s="50" t="s">
        <v>240</v>
      </c>
      <c r="K7" s="50" t="s">
        <v>241</v>
      </c>
    </row>
    <row r="8" spans="2:11" ht="13.9">
      <c r="B8" s="68">
        <v>1</v>
      </c>
      <c r="C8" s="78" t="s">
        <v>96</v>
      </c>
      <c r="D8" s="132">
        <v>5885.89</v>
      </c>
      <c r="E8" s="190">
        <f>'F5'!H10</f>
        <v>0.85198213915230869</v>
      </c>
      <c r="F8" s="136">
        <v>5885.89</v>
      </c>
      <c r="G8" s="132">
        <f t="shared" ref="G8:G21" si="0">E8*$F$22</f>
        <v>5980.113753638404</v>
      </c>
      <c r="H8" s="132">
        <f>G8-F8</f>
        <v>94.22375363840365</v>
      </c>
      <c r="I8" s="132">
        <v>133.76569135174995</v>
      </c>
      <c r="J8" s="132">
        <f>I8-H8</f>
        <v>39.5419377133463</v>
      </c>
      <c r="K8" s="132">
        <f>J8</f>
        <v>39.5419377133463</v>
      </c>
    </row>
    <row r="9" spans="2:11" ht="13.9">
      <c r="B9" s="68">
        <v>2</v>
      </c>
      <c r="C9" s="78" t="s">
        <v>97</v>
      </c>
      <c r="D9" s="132">
        <v>259.13</v>
      </c>
      <c r="E9" s="190">
        <f>'F5'!H11</f>
        <v>3.4312156752402692E-2</v>
      </c>
      <c r="F9" s="136">
        <v>259.13</v>
      </c>
      <c r="G9" s="132">
        <f t="shared" si="0"/>
        <v>240.83908697451966</v>
      </c>
      <c r="H9" s="132">
        <f t="shared" ref="H9:H21" si="1">G9-F9</f>
        <v>-18.290913025480336</v>
      </c>
      <c r="I9" s="132">
        <v>0.87181028882129086</v>
      </c>
      <c r="J9" s="132">
        <f t="shared" ref="J9:J21" si="2">(-H9/$H$8)*$I$22-I9</f>
        <v>25.830532148137937</v>
      </c>
      <c r="K9" s="132">
        <f>H9+J9</f>
        <v>7.5396191226576015</v>
      </c>
    </row>
    <row r="10" spans="2:11" ht="13.9">
      <c r="B10" s="68">
        <v>3</v>
      </c>
      <c r="C10" s="78" t="s">
        <v>98</v>
      </c>
      <c r="D10" s="132">
        <v>482.12</v>
      </c>
      <c r="E10" s="190">
        <f>'F5'!H12</f>
        <v>6.2044909916345967E-2</v>
      </c>
      <c r="F10" s="136">
        <v>482.12</v>
      </c>
      <c r="G10" s="132">
        <f t="shared" si="0"/>
        <v>435.49694539742734</v>
      </c>
      <c r="H10" s="132">
        <f t="shared" si="1"/>
        <v>-46.623054602572665</v>
      </c>
      <c r="I10" s="132">
        <v>0.18763077305263656</v>
      </c>
      <c r="J10" s="132">
        <f t="shared" si="2"/>
        <v>67.875935420754146</v>
      </c>
      <c r="K10" s="132">
        <f t="shared" ref="K10:K21" si="3">H10+J10</f>
        <v>21.252880818181481</v>
      </c>
    </row>
    <row r="11" spans="2:11" ht="13.9">
      <c r="B11" s="68">
        <v>4</v>
      </c>
      <c r="C11" s="78" t="s">
        <v>99</v>
      </c>
      <c r="D11" s="132">
        <v>256.72000000000003</v>
      </c>
      <c r="E11" s="190">
        <f>'F5'!H13</f>
        <v>3.1291219313685108E-2</v>
      </c>
      <c r="F11" s="136">
        <v>256.72000000000003</v>
      </c>
      <c r="G11" s="132">
        <f t="shared" si="0"/>
        <v>219.63494583591461</v>
      </c>
      <c r="H11" s="132">
        <f t="shared" si="1"/>
        <v>-37.08505416408542</v>
      </c>
      <c r="I11" s="132">
        <v>4.769039338306455E-2</v>
      </c>
      <c r="J11" s="132">
        <f t="shared" si="2"/>
        <v>54.091641754941151</v>
      </c>
      <c r="K11" s="132">
        <f t="shared" si="3"/>
        <v>17.00658759085573</v>
      </c>
    </row>
    <row r="12" spans="2:11" ht="13.9">
      <c r="B12" s="68">
        <v>5</v>
      </c>
      <c r="C12" s="78" t="s">
        <v>242</v>
      </c>
      <c r="D12" s="132">
        <v>121.09</v>
      </c>
      <c r="E12" s="190">
        <f>'F5'!H14</f>
        <v>1.8988167169885543E-2</v>
      </c>
      <c r="F12" s="136">
        <v>121.09</v>
      </c>
      <c r="G12" s="132">
        <f t="shared" si="0"/>
        <v>133.27908465545684</v>
      </c>
      <c r="H12" s="132">
        <f t="shared" si="1"/>
        <v>12.189084655456838</v>
      </c>
      <c r="I12" s="132">
        <v>1.8836332485094078</v>
      </c>
      <c r="J12" s="132">
        <f t="shared" si="2"/>
        <v>-19.678103760160994</v>
      </c>
      <c r="K12" s="132">
        <f t="shared" si="3"/>
        <v>-7.4890191047041554</v>
      </c>
    </row>
    <row r="13" spans="2:11" ht="13.9">
      <c r="B13" s="68">
        <v>6</v>
      </c>
      <c r="C13" s="78" t="s">
        <v>243</v>
      </c>
      <c r="D13" s="132">
        <v>4.93</v>
      </c>
      <c r="E13" s="190">
        <f>'F5'!H15</f>
        <v>3.6020805834941259E-4</v>
      </c>
      <c r="F13" s="136">
        <v>4.93</v>
      </c>
      <c r="G13" s="132">
        <f t="shared" si="0"/>
        <v>2.5283219740380281</v>
      </c>
      <c r="H13" s="132">
        <f t="shared" si="1"/>
        <v>-2.4016780259619717</v>
      </c>
      <c r="I13" s="132">
        <v>0</v>
      </c>
      <c r="J13" s="132">
        <f t="shared" si="2"/>
        <v>3.5061360241131379</v>
      </c>
      <c r="K13" s="132">
        <f t="shared" si="3"/>
        <v>1.1044579981511662</v>
      </c>
    </row>
    <row r="14" spans="2:11" ht="13.9">
      <c r="B14" s="68">
        <v>7</v>
      </c>
      <c r="C14" s="78" t="s">
        <v>244</v>
      </c>
      <c r="D14" s="132">
        <v>2.5</v>
      </c>
      <c r="E14" s="190">
        <f>'F5'!H16</f>
        <v>2.0238484263632983E-4</v>
      </c>
      <c r="F14" s="136">
        <v>2.5</v>
      </c>
      <c r="G14" s="132">
        <f t="shared" si="0"/>
        <v>1.4205513535549574</v>
      </c>
      <c r="H14" s="132">
        <f t="shared" si="1"/>
        <v>-1.0794486464450426</v>
      </c>
      <c r="I14" s="132">
        <v>0</v>
      </c>
      <c r="J14" s="132">
        <f t="shared" si="2"/>
        <v>1.5758539423556588</v>
      </c>
      <c r="K14" s="132">
        <f t="shared" si="3"/>
        <v>0.49640529591061622</v>
      </c>
    </row>
    <row r="15" spans="2:11" ht="13.9">
      <c r="B15" s="68">
        <v>8</v>
      </c>
      <c r="C15" s="78" t="s">
        <v>245</v>
      </c>
      <c r="D15" s="132">
        <v>3.86</v>
      </c>
      <c r="E15" s="190">
        <f>'F5'!H17</f>
        <v>1.7247172641672806E-4</v>
      </c>
      <c r="F15" s="136">
        <v>3.86</v>
      </c>
      <c r="G15" s="132">
        <f t="shared" si="0"/>
        <v>1.2105893960225993</v>
      </c>
      <c r="H15" s="132">
        <f t="shared" si="1"/>
        <v>-2.6494106039774006</v>
      </c>
      <c r="I15" s="132">
        <v>0</v>
      </c>
      <c r="J15" s="132">
        <f t="shared" si="2"/>
        <v>3.8677932099377901</v>
      </c>
      <c r="K15" s="132">
        <f t="shared" si="3"/>
        <v>1.2183826059603895</v>
      </c>
    </row>
    <row r="16" spans="2:11" ht="13.9">
      <c r="B16" s="68">
        <v>9</v>
      </c>
      <c r="C16" s="78" t="s">
        <v>104</v>
      </c>
      <c r="D16" s="132">
        <v>0.17</v>
      </c>
      <c r="E16" s="190">
        <f>'F5'!H18</f>
        <v>1.3602234926615297E-4</v>
      </c>
      <c r="F16" s="136">
        <v>0.17</v>
      </c>
      <c r="G16" s="132">
        <f t="shared" si="0"/>
        <v>0.95474903084008367</v>
      </c>
      <c r="H16" s="132">
        <f t="shared" si="1"/>
        <v>0.78474903084008363</v>
      </c>
      <c r="I16" s="132">
        <v>0.77713126324999937</v>
      </c>
      <c r="J16" s="132">
        <f t="shared" si="2"/>
        <v>-1.9227622833840259</v>
      </c>
      <c r="K16" s="132">
        <f t="shared" si="3"/>
        <v>-1.1380132525439421</v>
      </c>
    </row>
    <row r="17" spans="2:11" ht="13.9">
      <c r="B17" s="68">
        <v>10</v>
      </c>
      <c r="C17" s="78" t="s">
        <v>105</v>
      </c>
      <c r="D17" s="132">
        <v>2.65</v>
      </c>
      <c r="E17" s="190">
        <f>'F5'!H19</f>
        <v>5.1032071870330637E-4</v>
      </c>
      <c r="F17" s="136">
        <v>2.65</v>
      </c>
      <c r="G17" s="132">
        <f t="shared" si="0"/>
        <v>3.5819717438216299</v>
      </c>
      <c r="H17" s="132">
        <f t="shared" si="1"/>
        <v>0.93197174382162995</v>
      </c>
      <c r="I17" s="132">
        <v>2.0778165526657705E-2</v>
      </c>
      <c r="J17" s="132">
        <f t="shared" si="2"/>
        <v>-1.3813351049439389</v>
      </c>
      <c r="K17" s="132">
        <f t="shared" si="3"/>
        <v>-0.4493633611223089</v>
      </c>
    </row>
    <row r="18" spans="2:11" ht="13.9">
      <c r="B18" s="68">
        <v>11</v>
      </c>
      <c r="C18" s="78" t="s">
        <v>106</v>
      </c>
      <c r="D18" s="132">
        <v>0</v>
      </c>
      <c r="E18" s="191">
        <f>'F5'!H20</f>
        <v>0</v>
      </c>
      <c r="F18" s="132">
        <v>0</v>
      </c>
      <c r="G18" s="132">
        <f t="shared" si="0"/>
        <v>0</v>
      </c>
      <c r="H18" s="132">
        <f t="shared" si="1"/>
        <v>0</v>
      </c>
      <c r="I18" s="132">
        <v>0</v>
      </c>
      <c r="J18" s="132">
        <f t="shared" si="2"/>
        <v>0</v>
      </c>
      <c r="K18" s="132">
        <f t="shared" si="3"/>
        <v>0</v>
      </c>
    </row>
    <row r="19" spans="2:11" ht="13.9">
      <c r="B19" s="68">
        <v>12</v>
      </c>
      <c r="C19" s="78" t="s">
        <v>107</v>
      </c>
      <c r="D19" s="132">
        <v>0</v>
      </c>
      <c r="E19" s="191">
        <f>'F5'!H21</f>
        <v>0</v>
      </c>
      <c r="F19" s="132">
        <v>0</v>
      </c>
      <c r="G19" s="132">
        <f t="shared" si="0"/>
        <v>0</v>
      </c>
      <c r="H19" s="132">
        <f t="shared" si="1"/>
        <v>0</v>
      </c>
      <c r="I19" s="132">
        <v>0</v>
      </c>
      <c r="J19" s="132">
        <f t="shared" si="2"/>
        <v>0</v>
      </c>
      <c r="K19" s="132">
        <f t="shared" si="3"/>
        <v>0</v>
      </c>
    </row>
    <row r="20" spans="2:11" ht="13.9">
      <c r="B20" s="68">
        <v>13</v>
      </c>
      <c r="C20" s="78" t="s">
        <v>246</v>
      </c>
      <c r="D20" s="132">
        <v>0</v>
      </c>
      <c r="E20" s="191">
        <f>'F5'!H22</f>
        <v>0</v>
      </c>
      <c r="F20" s="132">
        <v>0</v>
      </c>
      <c r="G20" s="132">
        <f t="shared" si="0"/>
        <v>0</v>
      </c>
      <c r="H20" s="132">
        <f t="shared" si="1"/>
        <v>0</v>
      </c>
      <c r="I20" s="132">
        <v>0</v>
      </c>
      <c r="J20" s="132">
        <f t="shared" si="2"/>
        <v>0</v>
      </c>
      <c r="K20" s="132">
        <f t="shared" si="3"/>
        <v>0</v>
      </c>
    </row>
    <row r="21" spans="2:11" ht="13.9">
      <c r="B21" s="68">
        <v>14</v>
      </c>
      <c r="C21" s="78" t="s">
        <v>109</v>
      </c>
      <c r="D21" s="132">
        <v>0</v>
      </c>
      <c r="E21" s="191">
        <f>'F5'!H23</f>
        <v>0</v>
      </c>
      <c r="F21" s="132">
        <v>0</v>
      </c>
      <c r="G21" s="132">
        <f t="shared" si="0"/>
        <v>0</v>
      </c>
      <c r="H21" s="132">
        <f t="shared" si="1"/>
        <v>0</v>
      </c>
      <c r="I21" s="132">
        <v>0</v>
      </c>
      <c r="J21" s="132">
        <f t="shared" si="2"/>
        <v>0</v>
      </c>
      <c r="K21" s="132">
        <f t="shared" si="3"/>
        <v>0</v>
      </c>
    </row>
    <row r="22" spans="2:11" ht="13.9">
      <c r="B22" s="137"/>
      <c r="C22" s="79" t="s">
        <v>191</v>
      </c>
      <c r="D22" s="139">
        <f t="shared" ref="D22:K22" si="4">SUM(D8:D21)</f>
        <v>7019.06</v>
      </c>
      <c r="E22" s="138">
        <f t="shared" si="4"/>
        <v>0.99999999999999989</v>
      </c>
      <c r="F22" s="139">
        <f t="shared" si="4"/>
        <v>7019.06</v>
      </c>
      <c r="G22" s="139">
        <f t="shared" si="4"/>
        <v>7019.06</v>
      </c>
      <c r="H22" s="139">
        <f t="shared" si="4"/>
        <v>-6.340483693634269E-13</v>
      </c>
      <c r="I22" s="139">
        <f t="shared" si="4"/>
        <v>137.55436548429299</v>
      </c>
      <c r="J22" s="139">
        <f t="shared" si="4"/>
        <v>173.30762906509713</v>
      </c>
      <c r="K22" s="139">
        <f t="shared" si="4"/>
        <v>79.08387542669287</v>
      </c>
    </row>
    <row r="25" spans="2:11">
      <c r="K25" s="141" t="s">
        <v>228</v>
      </c>
    </row>
    <row r="26" spans="2:11" ht="13.9">
      <c r="B26" s="411" t="s">
        <v>2</v>
      </c>
      <c r="C26" s="411" t="s">
        <v>82</v>
      </c>
      <c r="D26" s="411" t="s">
        <v>52</v>
      </c>
      <c r="E26" s="411"/>
      <c r="F26" s="411"/>
      <c r="G26" s="411"/>
      <c r="H26" s="411"/>
      <c r="I26" s="411"/>
      <c r="J26" s="411"/>
      <c r="K26" s="411"/>
    </row>
    <row r="27" spans="2:11" ht="13.9">
      <c r="B27" s="411"/>
      <c r="C27" s="411"/>
      <c r="D27" s="411" t="s">
        <v>247</v>
      </c>
      <c r="E27" s="411"/>
      <c r="F27" s="430" t="s">
        <v>56</v>
      </c>
      <c r="G27" s="431"/>
      <c r="H27" s="411" t="s">
        <v>230</v>
      </c>
      <c r="I27" s="411"/>
      <c r="J27" s="411"/>
      <c r="K27" s="411"/>
    </row>
    <row r="28" spans="2:11" ht="41.45">
      <c r="B28" s="411"/>
      <c r="C28" s="411"/>
      <c r="D28" s="50" t="s">
        <v>54</v>
      </c>
      <c r="E28" s="50" t="s">
        <v>189</v>
      </c>
      <c r="F28" s="50" t="s">
        <v>232</v>
      </c>
      <c r="G28" s="50" t="s">
        <v>233</v>
      </c>
      <c r="H28" s="50" t="s">
        <v>234</v>
      </c>
      <c r="I28" s="50" t="s">
        <v>235</v>
      </c>
      <c r="J28" s="50" t="s">
        <v>236</v>
      </c>
      <c r="K28" s="50" t="s">
        <v>200</v>
      </c>
    </row>
    <row r="29" spans="2:11" ht="13.9">
      <c r="B29" s="414"/>
      <c r="C29" s="414"/>
      <c r="D29" s="50" t="s">
        <v>201</v>
      </c>
      <c r="E29" s="50" t="s">
        <v>202</v>
      </c>
      <c r="F29" s="50" t="s">
        <v>237</v>
      </c>
      <c r="G29" s="50" t="s">
        <v>204</v>
      </c>
      <c r="H29" s="50" t="s">
        <v>238</v>
      </c>
      <c r="I29" s="50" t="s">
        <v>239</v>
      </c>
      <c r="J29" s="50" t="s">
        <v>240</v>
      </c>
      <c r="K29" s="50" t="s">
        <v>241</v>
      </c>
    </row>
    <row r="30" spans="2:11" ht="13.9">
      <c r="B30" s="68">
        <v>1</v>
      </c>
      <c r="C30" s="78" t="s">
        <v>98</v>
      </c>
      <c r="D30" s="132">
        <v>8562.9599999999991</v>
      </c>
      <c r="E30" s="138">
        <f>'F5'!K10</f>
        <v>0.85894179332737197</v>
      </c>
      <c r="F30" s="132">
        <v>8562.9583583999993</v>
      </c>
      <c r="G30" s="132">
        <f t="shared" ref="G30:G43" si="5">$F$44*E30</f>
        <v>8335.8583155398992</v>
      </c>
      <c r="H30" s="136">
        <f>G30-F30</f>
        <v>-227.10004286010007</v>
      </c>
      <c r="I30" s="136">
        <v>3.8449728370010572</v>
      </c>
      <c r="J30" s="136">
        <f>I30-H30</f>
        <v>230.94501569710113</v>
      </c>
      <c r="K30" s="136">
        <f>J30</f>
        <v>230.94501569710113</v>
      </c>
    </row>
    <row r="31" spans="2:11" ht="13.9">
      <c r="B31" s="68">
        <v>2</v>
      </c>
      <c r="C31" s="78" t="s">
        <v>97</v>
      </c>
      <c r="D31" s="132">
        <v>277</v>
      </c>
      <c r="E31" s="138">
        <f>'F5'!K11</f>
        <v>3.3205133219810848E-2</v>
      </c>
      <c r="F31" s="132">
        <v>277.00274280000002</v>
      </c>
      <c r="G31" s="132">
        <f t="shared" si="5"/>
        <v>322.24917685833816</v>
      </c>
      <c r="H31" s="136">
        <f t="shared" ref="H31:H43" si="6">G31-F31</f>
        <v>45.246434058338139</v>
      </c>
      <c r="I31" s="136">
        <v>1.5947054000000001</v>
      </c>
      <c r="J31" s="136">
        <f t="shared" ref="J31:J43" si="7">(-H31/$H$8)*$I$44-I31</f>
        <v>-8.3005439522221653</v>
      </c>
      <c r="K31" s="136">
        <f>H31+J31</f>
        <v>36.945890106115975</v>
      </c>
    </row>
    <row r="32" spans="2:11" ht="13.9">
      <c r="B32" s="68">
        <v>3</v>
      </c>
      <c r="C32" s="78" t="s">
        <v>98</v>
      </c>
      <c r="D32" s="132">
        <v>490.65</v>
      </c>
      <c r="E32" s="138">
        <f>'F5'!K12</f>
        <v>5.9298006592152862E-2</v>
      </c>
      <c r="F32" s="132">
        <v>490.64989320000001</v>
      </c>
      <c r="G32" s="132">
        <f t="shared" si="5"/>
        <v>575.4752943518057</v>
      </c>
      <c r="H32" s="136">
        <f t="shared" si="6"/>
        <v>84.825401151805693</v>
      </c>
      <c r="I32" s="136">
        <v>2.9122070999999998</v>
      </c>
      <c r="J32" s="136">
        <f t="shared" si="7"/>
        <v>-15.48392589043724</v>
      </c>
      <c r="K32" s="136">
        <f t="shared" ref="K32:K43" si="8">H32+J32</f>
        <v>69.341475261368458</v>
      </c>
    </row>
    <row r="33" spans="2:11" ht="13.9">
      <c r="B33" s="68">
        <v>4</v>
      </c>
      <c r="C33" s="78" t="s">
        <v>99</v>
      </c>
      <c r="D33" s="132">
        <v>232.1</v>
      </c>
      <c r="E33" s="138">
        <f>'F5'!K13</f>
        <v>3.0156911207318216E-2</v>
      </c>
      <c r="F33" s="132">
        <v>232.104558</v>
      </c>
      <c r="G33" s="132">
        <f t="shared" si="5"/>
        <v>292.66679187271893</v>
      </c>
      <c r="H33" s="136">
        <f t="shared" si="6"/>
        <v>60.562233872718934</v>
      </c>
      <c r="I33" s="136">
        <v>1.3251154117692909</v>
      </c>
      <c r="J33" s="136">
        <f t="shared" si="7"/>
        <v>-10.300862808541936</v>
      </c>
      <c r="K33" s="136">
        <f t="shared" si="8"/>
        <v>50.261371064176998</v>
      </c>
    </row>
    <row r="34" spans="2:11" ht="13.9">
      <c r="B34" s="68">
        <v>5</v>
      </c>
      <c r="C34" s="78" t="s">
        <v>242</v>
      </c>
      <c r="D34" s="132">
        <v>125.18</v>
      </c>
      <c r="E34" s="138">
        <f>'F5'!K14</f>
        <v>1.598544784775233E-2</v>
      </c>
      <c r="F34" s="132">
        <v>125.17557600000001</v>
      </c>
      <c r="G34" s="132">
        <f t="shared" si="5"/>
        <v>155.13557426647256</v>
      </c>
      <c r="H34" s="136">
        <f t="shared" si="6"/>
        <v>29.959998266472553</v>
      </c>
      <c r="I34" s="136">
        <v>4.2113276499081342</v>
      </c>
      <c r="J34" s="136">
        <f t="shared" si="7"/>
        <v>-8.6516093114592536</v>
      </c>
      <c r="K34" s="136">
        <f t="shared" si="8"/>
        <v>21.308388955013299</v>
      </c>
    </row>
    <row r="35" spans="2:11" ht="13.9">
      <c r="B35" s="68">
        <v>6</v>
      </c>
      <c r="C35" s="78" t="s">
        <v>243</v>
      </c>
      <c r="D35" s="132">
        <v>1.56</v>
      </c>
      <c r="E35" s="138">
        <f>'F5'!K15</f>
        <v>5.0345427725072148E-4</v>
      </c>
      <c r="F35" s="132">
        <v>1.5575748</v>
      </c>
      <c r="G35" s="132">
        <f t="shared" si="5"/>
        <v>4.885923069661418</v>
      </c>
      <c r="H35" s="136">
        <f t="shared" si="6"/>
        <v>3.3283482696614177</v>
      </c>
      <c r="I35" s="136">
        <v>0</v>
      </c>
      <c r="J35" s="136">
        <f t="shared" si="7"/>
        <v>-0.49328453405057665</v>
      </c>
      <c r="K35" s="136">
        <f t="shared" si="8"/>
        <v>2.835063735610841</v>
      </c>
    </row>
    <row r="36" spans="2:11" ht="13.9">
      <c r="B36" s="68">
        <v>7</v>
      </c>
      <c r="C36" s="78" t="s">
        <v>244</v>
      </c>
      <c r="D36" s="132">
        <v>0.52</v>
      </c>
      <c r="E36" s="138">
        <f>'F5'!K16</f>
        <v>2.1299988652915137E-4</v>
      </c>
      <c r="F36" s="132">
        <v>0.5181732</v>
      </c>
      <c r="G36" s="132">
        <f t="shared" si="5"/>
        <v>2.0671212987029075</v>
      </c>
      <c r="H36" s="136">
        <f t="shared" si="6"/>
        <v>1.5489480987029074</v>
      </c>
      <c r="I36" s="136">
        <v>1.5809999999999957E-6</v>
      </c>
      <c r="J36" s="136">
        <f t="shared" si="7"/>
        <v>-0.22956654212557265</v>
      </c>
      <c r="K36" s="136">
        <f t="shared" si="8"/>
        <v>1.3193815565773348</v>
      </c>
    </row>
    <row r="37" spans="2:11" ht="13.9">
      <c r="B37" s="68">
        <v>8</v>
      </c>
      <c r="C37" s="78" t="s">
        <v>245</v>
      </c>
      <c r="D37" s="132">
        <v>1.22</v>
      </c>
      <c r="E37" s="138">
        <f>'F5'!K17</f>
        <v>2.3236351257725606E-4</v>
      </c>
      <c r="F37" s="132">
        <v>1.2240636</v>
      </c>
      <c r="G37" s="132">
        <f t="shared" si="5"/>
        <v>2.2550414167668085</v>
      </c>
      <c r="H37" s="136">
        <f t="shared" si="6"/>
        <v>1.0309778167668084</v>
      </c>
      <c r="I37" s="136">
        <v>0</v>
      </c>
      <c r="J37" s="136">
        <f t="shared" si="7"/>
        <v>-0.15279813611934026</v>
      </c>
      <c r="K37" s="136">
        <f t="shared" si="8"/>
        <v>0.87817968064746821</v>
      </c>
    </row>
    <row r="38" spans="2:11" ht="13.9">
      <c r="B38" s="68">
        <v>9</v>
      </c>
      <c r="C38" s="78" t="s">
        <v>104</v>
      </c>
      <c r="D38" s="132">
        <v>1.59</v>
      </c>
      <c r="E38" s="138">
        <f>'F5'!K18</f>
        <v>1.7427263443294203E-4</v>
      </c>
      <c r="F38" s="132">
        <v>1.5906252000000001</v>
      </c>
      <c r="G38" s="132">
        <f t="shared" si="5"/>
        <v>1.691281062575106</v>
      </c>
      <c r="H38" s="136">
        <f t="shared" si="6"/>
        <v>0.10065586257510595</v>
      </c>
      <c r="I38" s="136">
        <v>7.6290499999999997E-2</v>
      </c>
      <c r="J38" s="136">
        <f t="shared" si="7"/>
        <v>-9.1208404091470255E-2</v>
      </c>
      <c r="K38" s="136">
        <f t="shared" si="8"/>
        <v>9.4474584836356928E-3</v>
      </c>
    </row>
    <row r="39" spans="2:11" ht="13.9">
      <c r="B39" s="68">
        <v>10</v>
      </c>
      <c r="C39" s="78" t="s">
        <v>105</v>
      </c>
      <c r="D39" s="132">
        <v>5.14</v>
      </c>
      <c r="E39" s="138">
        <f>'F5'!K19</f>
        <v>5.8090878144314011E-4</v>
      </c>
      <c r="F39" s="132">
        <v>5.1405599999999998</v>
      </c>
      <c r="G39" s="132">
        <f t="shared" si="5"/>
        <v>5.6376035419170201</v>
      </c>
      <c r="H39" s="136">
        <f t="shared" si="6"/>
        <v>0.49704354191702027</v>
      </c>
      <c r="I39" s="136">
        <v>0</v>
      </c>
      <c r="J39" s="136">
        <f t="shared" si="7"/>
        <v>-7.3665335509594199E-2</v>
      </c>
      <c r="K39" s="136">
        <f t="shared" si="8"/>
        <v>0.42337820640742607</v>
      </c>
    </row>
    <row r="40" spans="2:11" ht="13.9">
      <c r="B40" s="68">
        <v>11</v>
      </c>
      <c r="C40" s="78" t="s">
        <v>106</v>
      </c>
      <c r="D40" s="132">
        <v>3.38</v>
      </c>
      <c r="E40" s="138">
        <f>'F5'!K20</f>
        <v>3.4854526886588406E-4</v>
      </c>
      <c r="F40" s="132">
        <v>3.3825612</v>
      </c>
      <c r="G40" s="132">
        <f t="shared" si="5"/>
        <v>3.382562125150212</v>
      </c>
      <c r="H40" s="136">
        <f t="shared" si="6"/>
        <v>9.2515021199446323E-7</v>
      </c>
      <c r="I40" s="136">
        <v>0</v>
      </c>
      <c r="J40" s="136">
        <f t="shared" si="7"/>
        <v>-1.3711374359778319E-7</v>
      </c>
      <c r="K40" s="136">
        <f t="shared" si="8"/>
        <v>7.8803646839667999E-7</v>
      </c>
    </row>
    <row r="41" spans="2:11" ht="13.9">
      <c r="B41" s="68">
        <v>12</v>
      </c>
      <c r="C41" s="78" t="s">
        <v>107</v>
      </c>
      <c r="D41" s="132">
        <v>2.63</v>
      </c>
      <c r="E41" s="138">
        <f>'F5'!K21</f>
        <v>2.7109076467346537E-4</v>
      </c>
      <c r="F41" s="132">
        <v>2.6308812000000001</v>
      </c>
      <c r="G41" s="132">
        <f t="shared" si="5"/>
        <v>2.6308816528946095</v>
      </c>
      <c r="H41" s="136">
        <f t="shared" si="6"/>
        <v>4.5289460937070203E-7</v>
      </c>
      <c r="I41" s="136">
        <v>0</v>
      </c>
      <c r="J41" s="136">
        <f t="shared" si="7"/>
        <v>-6.7122154371234424E-8</v>
      </c>
      <c r="K41" s="136">
        <f t="shared" si="8"/>
        <v>3.8577245499946759E-7</v>
      </c>
    </row>
    <row r="42" spans="2:11" ht="13.9">
      <c r="B42" s="68">
        <v>13</v>
      </c>
      <c r="C42" s="78" t="s">
        <v>246</v>
      </c>
      <c r="D42" s="132">
        <v>0.56000000000000005</v>
      </c>
      <c r="E42" s="138">
        <f>'F5'!K22</f>
        <v>5.8090878144314014E-5</v>
      </c>
      <c r="F42" s="132">
        <v>0.56376000000000004</v>
      </c>
      <c r="G42" s="132">
        <f t="shared" si="5"/>
        <v>0.56376035419170212</v>
      </c>
      <c r="H42" s="136">
        <f t="shared" si="6"/>
        <v>3.5419170207884321E-7</v>
      </c>
      <c r="I42" s="136">
        <v>0</v>
      </c>
      <c r="J42" s="136">
        <f t="shared" si="7"/>
        <v>-5.2493691936365864E-8</v>
      </c>
      <c r="K42" s="136">
        <f t="shared" si="8"/>
        <v>3.0169801014247734E-7</v>
      </c>
    </row>
    <row r="43" spans="2:11" ht="13.9">
      <c r="B43" s="68">
        <v>14</v>
      </c>
      <c r="C43" s="78" t="s">
        <v>109</v>
      </c>
      <c r="D43" s="132">
        <v>0.3</v>
      </c>
      <c r="E43" s="138">
        <f>'F5'!K23</f>
        <v>3.0981801676967473E-5</v>
      </c>
      <c r="F43" s="132">
        <v>0.30067199999999999</v>
      </c>
      <c r="G43" s="132">
        <f t="shared" si="5"/>
        <v>0.30067218890224107</v>
      </c>
      <c r="H43" s="136">
        <f t="shared" si="6"/>
        <v>1.8890224107170894E-7</v>
      </c>
      <c r="I43" s="136">
        <v>0</v>
      </c>
      <c r="J43" s="136">
        <f t="shared" si="7"/>
        <v>-2.7996635693910366E-8</v>
      </c>
      <c r="K43" s="136">
        <f t="shared" si="8"/>
        <v>1.6090560537779858E-7</v>
      </c>
    </row>
    <row r="44" spans="2:11" ht="13.9">
      <c r="B44" s="137"/>
      <c r="C44" s="79" t="s">
        <v>191</v>
      </c>
      <c r="D44" s="139">
        <f t="shared" ref="D44:K44" si="9">SUM(D30:D43)</f>
        <v>9704.7899999999954</v>
      </c>
      <c r="E44" s="195">
        <f>SUM(E30:E43)</f>
        <v>1.0000000000000002</v>
      </c>
      <c r="F44" s="139">
        <f t="shared" si="9"/>
        <v>9704.7999995999962</v>
      </c>
      <c r="G44" s="139">
        <f>SUM(G30:G43)</f>
        <v>9704.7999995999962</v>
      </c>
      <c r="H44" s="263">
        <f t="shared" si="9"/>
        <v>-2.7318147743926602E-12</v>
      </c>
      <c r="I44" s="263">
        <f t="shared" si="9"/>
        <v>13.964620479678482</v>
      </c>
      <c r="J44" s="263">
        <f t="shared" si="9"/>
        <v>187.1675504978177</v>
      </c>
      <c r="K44" s="263">
        <f t="shared" si="9"/>
        <v>414.26759335791513</v>
      </c>
    </row>
  </sheetData>
  <mergeCells count="12">
    <mergeCell ref="B26:B29"/>
    <mergeCell ref="C26:C29"/>
    <mergeCell ref="D26:K26"/>
    <mergeCell ref="D27:E27"/>
    <mergeCell ref="F27:G27"/>
    <mergeCell ref="H27:K27"/>
    <mergeCell ref="B4:B7"/>
    <mergeCell ref="C4:C7"/>
    <mergeCell ref="D4:K4"/>
    <mergeCell ref="D5:E5"/>
    <mergeCell ref="F5:G5"/>
    <mergeCell ref="H5:K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3B67-7856-41CA-8588-241948466145}">
  <dimension ref="A3:P62"/>
  <sheetViews>
    <sheetView zoomScale="76" workbookViewId="0">
      <selection activeCell="D8" sqref="D8"/>
    </sheetView>
  </sheetViews>
  <sheetFormatPr defaultRowHeight="13.15"/>
  <cols>
    <col min="1" max="1" width="16.28515625" bestFit="1" customWidth="1"/>
    <col min="2" max="2" width="10.42578125" bestFit="1" customWidth="1"/>
    <col min="3" max="3" width="47.7109375" customWidth="1"/>
    <col min="4" max="4" width="17" customWidth="1"/>
    <col min="5" max="5" width="18.7109375" customWidth="1"/>
    <col min="6" max="6" width="21.28515625" customWidth="1"/>
    <col min="7" max="7" width="17.7109375" customWidth="1"/>
    <col min="8" max="8" width="21.28515625" customWidth="1"/>
    <col min="9" max="9" width="17" customWidth="1"/>
    <col min="10" max="11" width="22.28515625" customWidth="1"/>
    <col min="12" max="12" width="32.28515625" customWidth="1"/>
    <col min="13" max="13" width="17" customWidth="1"/>
    <col min="14" max="14" width="24.28515625" customWidth="1"/>
  </cols>
  <sheetData>
    <row r="3" spans="1:16">
      <c r="M3" s="141" t="s">
        <v>228</v>
      </c>
    </row>
    <row r="4" spans="1:16" ht="13.9">
      <c r="B4" s="411" t="s">
        <v>2</v>
      </c>
      <c r="C4" s="411" t="s">
        <v>82</v>
      </c>
      <c r="D4" s="411" t="s">
        <v>51</v>
      </c>
      <c r="E4" s="411"/>
      <c r="F4" s="411"/>
      <c r="G4" s="411"/>
      <c r="H4" s="411"/>
      <c r="I4" s="411"/>
      <c r="J4" s="411"/>
      <c r="K4" s="411"/>
      <c r="L4" s="411"/>
      <c r="M4" s="411"/>
    </row>
    <row r="5" spans="1:16" ht="13.9">
      <c r="B5" s="411"/>
      <c r="C5" s="411"/>
      <c r="D5" s="411" t="s">
        <v>229</v>
      </c>
      <c r="E5" s="411"/>
      <c r="F5" s="430" t="s">
        <v>56</v>
      </c>
      <c r="G5" s="431"/>
      <c r="H5" s="431"/>
      <c r="I5" s="431"/>
      <c r="J5" s="411" t="s">
        <v>230</v>
      </c>
      <c r="K5" s="411"/>
      <c r="L5" s="411"/>
      <c r="M5" s="411"/>
    </row>
    <row r="6" spans="1:16" ht="41.45">
      <c r="B6" s="411"/>
      <c r="C6" s="411"/>
      <c r="D6" s="50" t="s">
        <v>231</v>
      </c>
      <c r="E6" s="50" t="s">
        <v>189</v>
      </c>
      <c r="F6" s="50" t="s">
        <v>232</v>
      </c>
      <c r="G6" s="50" t="s">
        <v>248</v>
      </c>
      <c r="H6" s="50" t="s">
        <v>249</v>
      </c>
      <c r="I6" s="50" t="s">
        <v>250</v>
      </c>
      <c r="J6" s="50" t="s">
        <v>234</v>
      </c>
      <c r="K6" s="50" t="s">
        <v>235</v>
      </c>
      <c r="L6" s="50" t="s">
        <v>236</v>
      </c>
      <c r="M6" s="50" t="s">
        <v>200</v>
      </c>
    </row>
    <row r="7" spans="1:16" ht="13.9">
      <c r="A7" s="271" t="s">
        <v>251</v>
      </c>
      <c r="B7" s="414"/>
      <c r="C7" s="414"/>
      <c r="D7" s="50" t="s">
        <v>201</v>
      </c>
      <c r="E7" s="50" t="s">
        <v>202</v>
      </c>
      <c r="F7" s="50" t="s">
        <v>237</v>
      </c>
      <c r="G7" s="50" t="s">
        <v>204</v>
      </c>
      <c r="H7" s="50" t="s">
        <v>205</v>
      </c>
      <c r="I7" s="50" t="s">
        <v>239</v>
      </c>
      <c r="J7" s="50" t="s">
        <v>252</v>
      </c>
      <c r="K7" s="50" t="s">
        <v>253</v>
      </c>
      <c r="L7" s="50" t="s">
        <v>254</v>
      </c>
      <c r="M7" s="50" t="s">
        <v>255</v>
      </c>
    </row>
    <row r="8" spans="1:16" ht="13.9">
      <c r="A8" s="272">
        <v>1595151618</v>
      </c>
      <c r="B8" s="68">
        <v>1</v>
      </c>
      <c r="C8" s="78" t="s">
        <v>96</v>
      </c>
      <c r="D8" s="132">
        <v>5885.89</v>
      </c>
      <c r="E8" s="138">
        <f t="shared" ref="E8:E21" si="0">D8/$D$22</f>
        <v>0.83862755171544134</v>
      </c>
      <c r="F8" s="132">
        <v>5885.89</v>
      </c>
      <c r="G8" s="132">
        <f>VLOOKUP(C8,'Demand Projections Historical'!$C$74:$D$92,2,0)</f>
        <v>21657.67853029129</v>
      </c>
      <c r="H8" s="219">
        <f t="shared" ref="H8:H21" si="1">G8/$G$22</f>
        <v>0.85655486389461799</v>
      </c>
      <c r="I8" s="132">
        <f t="shared" ref="I8:I21" si="2">H8*$F$22</f>
        <v>6011.7124670373078</v>
      </c>
      <c r="J8" s="132">
        <f>I8-F8</f>
        <v>125.82246703730743</v>
      </c>
      <c r="K8" s="132">
        <f t="shared" ref="K8:K21" si="3">A8/10^7</f>
        <v>159.51516179999999</v>
      </c>
      <c r="L8" s="132">
        <f>J8-K8</f>
        <v>-33.692694762692554</v>
      </c>
      <c r="M8" s="132">
        <f>L8</f>
        <v>-33.692694762692554</v>
      </c>
    </row>
    <row r="9" spans="1:16" ht="13.9">
      <c r="A9" s="272">
        <v>8845376</v>
      </c>
      <c r="B9" s="68">
        <v>2</v>
      </c>
      <c r="C9" s="78" t="s">
        <v>97</v>
      </c>
      <c r="D9" s="132">
        <v>259.10583370000001</v>
      </c>
      <c r="E9" s="138">
        <f t="shared" si="0"/>
        <v>3.6917660872190831E-2</v>
      </c>
      <c r="F9" s="132">
        <v>259.10583370000001</v>
      </c>
      <c r="G9" s="132">
        <f>VLOOKUP(C9,'Demand Projections Historical'!$C$74:$D$92,2,0)</f>
        <v>840.76851174359581</v>
      </c>
      <c r="H9" s="219">
        <f t="shared" si="1"/>
        <v>3.3252149215169377E-2</v>
      </c>
      <c r="I9" s="132">
        <f t="shared" si="2"/>
        <v>233.37951650136515</v>
      </c>
      <c r="J9" s="132">
        <f t="shared" ref="J9:J21" si="4">I9-F9</f>
        <v>-25.72631719863486</v>
      </c>
      <c r="K9" s="132">
        <f t="shared" si="3"/>
        <v>0.88453760000000003</v>
      </c>
      <c r="L9" s="132">
        <f>(-J9/$J$8)*$K$22-K9</f>
        <v>32.643109046985472</v>
      </c>
      <c r="M9" s="132">
        <f>J9+L9</f>
        <v>6.9167918483506128</v>
      </c>
      <c r="N9" s="264"/>
      <c r="P9" s="221"/>
    </row>
    <row r="10" spans="1:16" ht="13.9">
      <c r="A10" s="272">
        <v>1887833</v>
      </c>
      <c r="B10" s="68">
        <v>3</v>
      </c>
      <c r="C10" s="78" t="s">
        <v>98</v>
      </c>
      <c r="D10" s="132">
        <v>481.76333369999998</v>
      </c>
      <c r="E10" s="138">
        <f t="shared" si="0"/>
        <v>6.8642126347434301E-2</v>
      </c>
      <c r="F10" s="132">
        <v>481.76333369999998</v>
      </c>
      <c r="G10" s="132">
        <f>VLOOKUP(C10,'Demand Projections Historical'!$C$74:$D$92,2,0)</f>
        <v>1520.3184966791343</v>
      </c>
      <c r="H10" s="219">
        <f t="shared" si="1"/>
        <v>6.0128152755527638E-2</v>
      </c>
      <c r="I10" s="132">
        <f t="shared" si="2"/>
        <v>422.00818742277465</v>
      </c>
      <c r="J10" s="132">
        <f t="shared" si="4"/>
        <v>-59.755146277225322</v>
      </c>
      <c r="K10" s="132">
        <f t="shared" si="3"/>
        <v>0.18878329999999999</v>
      </c>
      <c r="L10" s="132">
        <f t="shared" ref="L10:L21" si="5">(-J10/$J$8)*$K$22-K10</f>
        <v>77.686701723874748</v>
      </c>
      <c r="M10" s="132">
        <f t="shared" ref="M10:M21" si="6">J10+L10</f>
        <v>17.931555446649426</v>
      </c>
      <c r="N10" s="264"/>
      <c r="P10" s="221"/>
    </row>
    <row r="11" spans="1:16" ht="13.9">
      <c r="A11" s="272">
        <v>476904</v>
      </c>
      <c r="B11" s="68">
        <v>4</v>
      </c>
      <c r="C11" s="78" t="s">
        <v>99</v>
      </c>
      <c r="D11" s="132">
        <v>256.8266663</v>
      </c>
      <c r="E11" s="138">
        <f t="shared" si="0"/>
        <v>3.6592922799170154E-2</v>
      </c>
      <c r="F11" s="132">
        <v>256.8266663</v>
      </c>
      <c r="G11" s="132">
        <f>VLOOKUP(C11,'Demand Projections Historical'!$C$74:$D$92,2,0)</f>
        <v>766.74492025824748</v>
      </c>
      <c r="H11" s="219">
        <f t="shared" si="1"/>
        <v>3.0324537779758964E-2</v>
      </c>
      <c r="I11" s="132">
        <f t="shared" si="2"/>
        <v>212.83213663491554</v>
      </c>
      <c r="J11" s="132">
        <f>I11-F11</f>
        <v>-43.994529665084457</v>
      </c>
      <c r="K11" s="132">
        <f t="shared" si="3"/>
        <v>4.7690400000000001E-2</v>
      </c>
      <c r="L11" s="132">
        <f t="shared" si="5"/>
        <v>57.287878994656417</v>
      </c>
      <c r="M11" s="132">
        <f t="shared" si="6"/>
        <v>13.29334932957196</v>
      </c>
      <c r="N11" s="264"/>
      <c r="P11" s="221"/>
    </row>
    <row r="12" spans="1:16" ht="13.9">
      <c r="A12" s="272">
        <v>24564528</v>
      </c>
      <c r="B12" s="68">
        <v>5</v>
      </c>
      <c r="C12" s="78" t="s">
        <v>100</v>
      </c>
      <c r="D12" s="132">
        <v>120.8691663</v>
      </c>
      <c r="E12" s="138">
        <f t="shared" si="0"/>
        <v>1.7221560887487792E-2</v>
      </c>
      <c r="F12" s="132">
        <v>120.8691663</v>
      </c>
      <c r="G12" s="132">
        <f>VLOOKUP(C12,'Demand Projections Historical'!$C$74:$D$92,2,0)</f>
        <v>465.27687453063868</v>
      </c>
      <c r="H12" s="219">
        <f t="shared" si="1"/>
        <v>1.8401564571174943E-2</v>
      </c>
      <c r="I12" s="132">
        <f t="shared" si="2"/>
        <v>129.15099757011552</v>
      </c>
      <c r="J12" s="132">
        <f t="shared" si="4"/>
        <v>8.2818312701155179</v>
      </c>
      <c r="K12" s="132">
        <f t="shared" si="3"/>
        <v>2.4564528000000001</v>
      </c>
      <c r="L12" s="132">
        <f t="shared" si="5"/>
        <v>-13.24969266680543</v>
      </c>
      <c r="M12" s="132">
        <f t="shared" si="6"/>
        <v>-4.9678613966899121</v>
      </c>
      <c r="N12" s="264"/>
      <c r="P12" s="221"/>
    </row>
    <row r="13" spans="1:16" ht="13.9">
      <c r="A13" s="273"/>
      <c r="B13" s="68">
        <v>6</v>
      </c>
      <c r="C13" s="78" t="s">
        <v>101</v>
      </c>
      <c r="D13" s="132">
        <v>4.9391663000000001</v>
      </c>
      <c r="E13" s="138">
        <f t="shared" si="0"/>
        <v>7.0373740278605523E-4</v>
      </c>
      <c r="F13" s="132">
        <v>4.9391663000000001</v>
      </c>
      <c r="G13" s="132">
        <f>VLOOKUP(C13,'Demand Projections Historical'!$C$74:$D$92,2,0)</f>
        <v>8.8263642335825754</v>
      </c>
      <c r="H13" s="219">
        <f t="shared" si="1"/>
        <v>3.4908012898088591E-4</v>
      </c>
      <c r="I13" s="132">
        <f t="shared" si="2"/>
        <v>2.4500116126216644</v>
      </c>
      <c r="J13" s="132">
        <f t="shared" si="4"/>
        <v>-2.4891546873783357</v>
      </c>
      <c r="K13" s="132">
        <f t="shared" si="3"/>
        <v>0</v>
      </c>
      <c r="L13" s="132">
        <f t="shared" si="5"/>
        <v>3.2439737939846633</v>
      </c>
      <c r="M13" s="132">
        <f t="shared" si="6"/>
        <v>0.75481910660632767</v>
      </c>
      <c r="N13" s="264"/>
      <c r="P13" s="221"/>
    </row>
    <row r="14" spans="1:16" ht="13.9">
      <c r="A14" s="272">
        <v>866612</v>
      </c>
      <c r="B14" s="68">
        <v>7</v>
      </c>
      <c r="C14" s="78" t="s">
        <v>102</v>
      </c>
      <c r="D14" s="132">
        <v>2.5016663000000001</v>
      </c>
      <c r="E14" s="138">
        <f t="shared" si="0"/>
        <v>3.5643994100773658E-4</v>
      </c>
      <c r="F14" s="132">
        <v>2.5016663000000001</v>
      </c>
      <c r="G14" s="132">
        <f>VLOOKUP(C14,'Demand Projections Historical'!$C$74:$D$92,2,0)</f>
        <v>4.9591404052703156</v>
      </c>
      <c r="H14" s="219">
        <f t="shared" si="1"/>
        <v>1.9613255543199183E-4</v>
      </c>
      <c r="I14" s="132">
        <f t="shared" si="2"/>
        <v>1.3765522541326145</v>
      </c>
      <c r="J14" s="132">
        <f t="shared" si="4"/>
        <v>-1.1251140458673856</v>
      </c>
      <c r="K14" s="132">
        <f t="shared" si="3"/>
        <v>8.6661199999999994E-2</v>
      </c>
      <c r="L14" s="132">
        <f t="shared" si="5"/>
        <v>1.3796359725079879</v>
      </c>
      <c r="M14" s="132">
        <f t="shared" si="6"/>
        <v>0.25452192664060225</v>
      </c>
      <c r="N14" s="264"/>
      <c r="P14" s="221"/>
    </row>
    <row r="15" spans="1:16" ht="13.9">
      <c r="A15" s="272">
        <v>716</v>
      </c>
      <c r="B15" s="68">
        <v>8</v>
      </c>
      <c r="C15" s="78" t="s">
        <v>103</v>
      </c>
      <c r="D15" s="132">
        <v>2.5591662999999998</v>
      </c>
      <c r="E15" s="138">
        <f t="shared" si="0"/>
        <v>3.6463259908045586E-4</v>
      </c>
      <c r="F15" s="132">
        <v>2.5591662999999998</v>
      </c>
      <c r="G15" s="132">
        <f>VLOOKUP(C15,'Demand Projections Historical'!$C$74:$D$92,2,0)</f>
        <v>4.2261638574231251</v>
      </c>
      <c r="H15" s="219">
        <f t="shared" si="1"/>
        <v>1.6714354692394314E-4</v>
      </c>
      <c r="I15" s="132">
        <f t="shared" si="2"/>
        <v>1.1730935018671813</v>
      </c>
      <c r="J15" s="132">
        <f t="shared" si="4"/>
        <v>-1.3860727981328185</v>
      </c>
      <c r="K15" s="132">
        <f t="shared" si="3"/>
        <v>7.1600000000000006E-5</v>
      </c>
      <c r="L15" s="132">
        <f t="shared" si="5"/>
        <v>1.8063182786594119</v>
      </c>
      <c r="M15" s="132">
        <f t="shared" si="6"/>
        <v>0.42024548052659338</v>
      </c>
      <c r="N15" s="264"/>
      <c r="P15" s="221"/>
    </row>
    <row r="16" spans="1:16" ht="13.9">
      <c r="A16" s="272">
        <v>7771313</v>
      </c>
      <c r="B16" s="68">
        <v>9</v>
      </c>
      <c r="C16" s="78" t="s">
        <v>104</v>
      </c>
      <c r="D16" s="132">
        <v>0.1658337</v>
      </c>
      <c r="E16" s="138">
        <f t="shared" si="0"/>
        <v>2.3628153061459349E-5</v>
      </c>
      <c r="F16" s="132">
        <v>0.1658337</v>
      </c>
      <c r="G16" s="132">
        <f>VLOOKUP(C16,'Demand Projections Historical'!$C$74:$D$92,2,0)</f>
        <v>3.3330259296032971</v>
      </c>
      <c r="H16" s="219">
        <f t="shared" si="1"/>
        <v>1.3182020258983808E-4</v>
      </c>
      <c r="I16" s="132">
        <f t="shared" si="2"/>
        <v>0.92517734557422382</v>
      </c>
      <c r="J16" s="132">
        <f t="shared" si="4"/>
        <v>0.75934364557422385</v>
      </c>
      <c r="K16" s="132">
        <f t="shared" si="3"/>
        <v>0.77713129999999997</v>
      </c>
      <c r="L16" s="132">
        <f t="shared" si="5"/>
        <v>-1.7667407040929151</v>
      </c>
      <c r="M16" s="132">
        <f t="shared" si="6"/>
        <v>-1.0073970585186913</v>
      </c>
      <c r="N16" s="264"/>
      <c r="P16" s="221"/>
    </row>
    <row r="17" spans="1:16" ht="13.9">
      <c r="A17" s="272">
        <v>207782</v>
      </c>
      <c r="B17" s="68">
        <v>10</v>
      </c>
      <c r="C17" s="78" t="s">
        <v>105</v>
      </c>
      <c r="D17" s="132">
        <v>3.8583337000000002</v>
      </c>
      <c r="E17" s="138">
        <f t="shared" si="0"/>
        <v>5.4973928233999951E-4</v>
      </c>
      <c r="F17" s="132">
        <v>3.8583337000000002</v>
      </c>
      <c r="G17" s="132">
        <f>VLOOKUP(C17,'Demand Projections Historical'!$C$74:$D$92,2,0)</f>
        <v>12.504652338592978</v>
      </c>
      <c r="H17" s="219">
        <f t="shared" si="1"/>
        <v>4.9455534982441925E-4</v>
      </c>
      <c r="I17" s="132">
        <f t="shared" si="2"/>
        <v>3.4710264193248945</v>
      </c>
      <c r="J17" s="132">
        <f t="shared" si="4"/>
        <v>-0.38730728067510567</v>
      </c>
      <c r="K17" s="132">
        <f t="shared" si="3"/>
        <v>2.07782E-2</v>
      </c>
      <c r="L17" s="132">
        <f t="shared" si="5"/>
        <v>0.48397736023109411</v>
      </c>
      <c r="M17" s="132">
        <f t="shared" si="6"/>
        <v>9.6670079555988442E-2</v>
      </c>
      <c r="N17" s="264"/>
      <c r="P17" s="221"/>
    </row>
    <row r="18" spans="1:16" ht="13.9">
      <c r="A18" s="273"/>
      <c r="B18" s="68">
        <v>11</v>
      </c>
      <c r="C18" s="78" t="s">
        <v>106</v>
      </c>
      <c r="D18" s="132">
        <v>0</v>
      </c>
      <c r="E18" s="219">
        <f t="shared" si="0"/>
        <v>0</v>
      </c>
      <c r="F18" s="132">
        <v>0</v>
      </c>
      <c r="G18" s="132">
        <v>0</v>
      </c>
      <c r="H18" s="219">
        <f t="shared" si="1"/>
        <v>0</v>
      </c>
      <c r="I18" s="132">
        <f t="shared" si="2"/>
        <v>0</v>
      </c>
      <c r="J18" s="132">
        <f t="shared" si="4"/>
        <v>0</v>
      </c>
      <c r="K18" s="132">
        <f t="shared" si="3"/>
        <v>0</v>
      </c>
      <c r="L18" s="132">
        <f t="shared" si="5"/>
        <v>0</v>
      </c>
      <c r="M18" s="132">
        <f t="shared" si="6"/>
        <v>0</v>
      </c>
      <c r="N18" s="264"/>
    </row>
    <row r="19" spans="1:16" ht="13.9">
      <c r="A19" s="273"/>
      <c r="B19" s="68">
        <v>12</v>
      </c>
      <c r="C19" s="78" t="s">
        <v>107</v>
      </c>
      <c r="D19" s="132">
        <v>0</v>
      </c>
      <c r="E19" s="219">
        <f t="shared" si="0"/>
        <v>0</v>
      </c>
      <c r="F19" s="132">
        <v>0</v>
      </c>
      <c r="G19" s="132">
        <v>0</v>
      </c>
      <c r="H19" s="219">
        <f t="shared" si="1"/>
        <v>0</v>
      </c>
      <c r="I19" s="132">
        <f t="shared" si="2"/>
        <v>0</v>
      </c>
      <c r="J19" s="132">
        <f t="shared" si="4"/>
        <v>0</v>
      </c>
      <c r="K19" s="132">
        <f t="shared" si="3"/>
        <v>0</v>
      </c>
      <c r="L19" s="132">
        <f t="shared" si="5"/>
        <v>0</v>
      </c>
      <c r="M19" s="132">
        <f t="shared" si="6"/>
        <v>0</v>
      </c>
      <c r="N19" s="264"/>
    </row>
    <row r="20" spans="1:16" ht="13.9">
      <c r="A20" s="273"/>
      <c r="B20" s="68">
        <v>13</v>
      </c>
      <c r="C20" s="78" t="s">
        <v>108</v>
      </c>
      <c r="D20" s="132">
        <v>0</v>
      </c>
      <c r="E20" s="219">
        <f t="shared" si="0"/>
        <v>0</v>
      </c>
      <c r="F20" s="132">
        <v>0</v>
      </c>
      <c r="G20" s="132">
        <v>0</v>
      </c>
      <c r="H20" s="219">
        <f t="shared" si="1"/>
        <v>0</v>
      </c>
      <c r="I20" s="132">
        <f t="shared" si="2"/>
        <v>0</v>
      </c>
      <c r="J20" s="132">
        <f t="shared" si="4"/>
        <v>0</v>
      </c>
      <c r="K20" s="132">
        <f t="shared" si="3"/>
        <v>0</v>
      </c>
      <c r="L20" s="132">
        <f t="shared" si="5"/>
        <v>0</v>
      </c>
      <c r="M20" s="132">
        <f t="shared" si="6"/>
        <v>0</v>
      </c>
      <c r="N20" s="264"/>
    </row>
    <row r="21" spans="1:16" ht="13.9">
      <c r="A21" s="273"/>
      <c r="B21" s="68">
        <v>14</v>
      </c>
      <c r="C21" s="78" t="s">
        <v>109</v>
      </c>
      <c r="D21" s="132">
        <v>0</v>
      </c>
      <c r="E21" s="219">
        <f t="shared" si="0"/>
        <v>0</v>
      </c>
      <c r="F21" s="132">
        <v>0</v>
      </c>
      <c r="G21" s="132">
        <v>0</v>
      </c>
      <c r="H21" s="219">
        <f t="shared" si="1"/>
        <v>0</v>
      </c>
      <c r="I21" s="132">
        <f t="shared" si="2"/>
        <v>0</v>
      </c>
      <c r="J21" s="132">
        <f t="shared" si="4"/>
        <v>0</v>
      </c>
      <c r="K21" s="132">
        <f t="shared" si="3"/>
        <v>0</v>
      </c>
      <c r="L21" s="132">
        <f t="shared" si="5"/>
        <v>0</v>
      </c>
      <c r="M21" s="132">
        <f t="shared" si="6"/>
        <v>0</v>
      </c>
      <c r="N21" s="264"/>
    </row>
    <row r="22" spans="1:16" ht="13.9">
      <c r="A22" s="273"/>
      <c r="B22" s="137"/>
      <c r="C22" s="79" t="s">
        <v>191</v>
      </c>
      <c r="D22" s="139">
        <f>SUM(D8:D21)</f>
        <v>7018.4791662999996</v>
      </c>
      <c r="E22" s="222">
        <f>SUM(E8:E21)</f>
        <v>1.0000000000000002</v>
      </c>
      <c r="F22" s="139">
        <f>SUM(F8:F21)</f>
        <v>7018.4791662999996</v>
      </c>
      <c r="G22" s="139">
        <f>SUM(G8:G21)</f>
        <v>25284.63668026738</v>
      </c>
      <c r="H22" s="222">
        <f t="shared" ref="H22:M22" si="7">SUM(H8:H21)</f>
        <v>1</v>
      </c>
      <c r="I22" s="139">
        <f t="shared" si="7"/>
        <v>7018.4791662999987</v>
      </c>
      <c r="J22" s="139">
        <f t="shared" si="7"/>
        <v>-1.1085576900882188E-12</v>
      </c>
      <c r="K22" s="139">
        <f t="shared" si="7"/>
        <v>163.9772682</v>
      </c>
      <c r="L22" s="139">
        <f>SUM(L8:L21)</f>
        <v>125.82246703730891</v>
      </c>
      <c r="M22" s="139">
        <f t="shared" si="7"/>
        <v>3.5343949988941858E-13</v>
      </c>
    </row>
    <row r="23" spans="1:16">
      <c r="A23" s="273"/>
    </row>
    <row r="24" spans="1:16">
      <c r="A24" s="273"/>
    </row>
    <row r="25" spans="1:16">
      <c r="A25" s="273"/>
      <c r="M25" s="141" t="s">
        <v>228</v>
      </c>
    </row>
    <row r="26" spans="1:16" ht="13.9">
      <c r="A26" s="273"/>
      <c r="B26" s="411" t="s">
        <v>2</v>
      </c>
      <c r="C26" s="411" t="s">
        <v>82</v>
      </c>
      <c r="D26" s="411" t="s">
        <v>52</v>
      </c>
      <c r="E26" s="411"/>
      <c r="F26" s="411"/>
      <c r="G26" s="411"/>
      <c r="H26" s="411"/>
      <c r="I26" s="411"/>
      <c r="J26" s="411"/>
      <c r="K26" s="411"/>
      <c r="L26" s="411"/>
      <c r="M26" s="411"/>
    </row>
    <row r="27" spans="1:16" ht="13.9">
      <c r="A27" s="273"/>
      <c r="B27" s="411"/>
      <c r="C27" s="411"/>
      <c r="D27" s="411" t="s">
        <v>247</v>
      </c>
      <c r="E27" s="411"/>
      <c r="F27" s="411" t="s">
        <v>56</v>
      </c>
      <c r="G27" s="411"/>
      <c r="H27" s="411"/>
      <c r="I27" s="411"/>
      <c r="J27" s="411" t="s">
        <v>230</v>
      </c>
      <c r="K27" s="411"/>
      <c r="L27" s="411"/>
      <c r="M27" s="433"/>
    </row>
    <row r="28" spans="1:16" ht="41.45">
      <c r="A28" s="273"/>
      <c r="B28" s="411"/>
      <c r="C28" s="411"/>
      <c r="D28" s="50" t="s">
        <v>54</v>
      </c>
      <c r="E28" s="50" t="s">
        <v>189</v>
      </c>
      <c r="F28" s="50" t="s">
        <v>232</v>
      </c>
      <c r="G28" s="50" t="s">
        <v>248</v>
      </c>
      <c r="H28" s="50" t="s">
        <v>249</v>
      </c>
      <c r="I28" s="50" t="s">
        <v>233</v>
      </c>
      <c r="J28" s="50" t="s">
        <v>234</v>
      </c>
      <c r="K28" s="50" t="s">
        <v>235</v>
      </c>
      <c r="L28" s="267" t="s">
        <v>236</v>
      </c>
      <c r="M28" s="50" t="s">
        <v>200</v>
      </c>
      <c r="N28" s="50" t="s">
        <v>256</v>
      </c>
    </row>
    <row r="29" spans="1:16" ht="13.9">
      <c r="A29" s="273"/>
      <c r="B29" s="414"/>
      <c r="C29" s="414"/>
      <c r="D29" s="50" t="s">
        <v>201</v>
      </c>
      <c r="E29" s="50" t="s">
        <v>202</v>
      </c>
      <c r="F29" s="50" t="s">
        <v>237</v>
      </c>
      <c r="G29" s="50" t="s">
        <v>204</v>
      </c>
      <c r="H29" s="50" t="s">
        <v>205</v>
      </c>
      <c r="I29" s="50" t="s">
        <v>239</v>
      </c>
      <c r="J29" s="50" t="s">
        <v>252</v>
      </c>
      <c r="K29" s="50" t="s">
        <v>253</v>
      </c>
      <c r="L29" s="267" t="s">
        <v>254</v>
      </c>
      <c r="M29" s="50" t="s">
        <v>255</v>
      </c>
      <c r="N29" s="50"/>
    </row>
    <row r="30" spans="1:16" ht="13.9">
      <c r="A30" s="272">
        <v>44968430</v>
      </c>
      <c r="B30" s="68">
        <v>1</v>
      </c>
      <c r="C30" s="78" t="s">
        <v>96</v>
      </c>
      <c r="D30" s="132">
        <v>8562.9599999999991</v>
      </c>
      <c r="E30" s="138">
        <v>0.85894000000000004</v>
      </c>
      <c r="F30" s="132">
        <v>8562.9583583999993</v>
      </c>
      <c r="G30" s="132">
        <f>VLOOKUP(C30,'Demand Projections Historical'!$C$74:$E$92,3,0)</f>
        <v>23299.942140979343</v>
      </c>
      <c r="H30" s="219">
        <f t="shared" ref="H30:H43" si="8">G30/$G$44</f>
        <v>0.85828039050383176</v>
      </c>
      <c r="I30" s="132">
        <f t="shared" ref="I30:I43" si="9">H30*$F$44</f>
        <v>8329.4395334182718</v>
      </c>
      <c r="J30" s="132">
        <f>I30-F30</f>
        <v>-233.51882498172745</v>
      </c>
      <c r="K30" s="132">
        <f t="shared" ref="K30:K43" si="10">A30/10^7</f>
        <v>4.4968430000000001</v>
      </c>
      <c r="L30" s="268">
        <f>J30-K30</f>
        <v>-238.01566798172746</v>
      </c>
      <c r="M30" s="132">
        <f>L30</f>
        <v>-238.01566798172746</v>
      </c>
      <c r="N30" s="132">
        <f t="shared" ref="N30:N43" si="11">M30+M8</f>
        <v>-271.70836274442001</v>
      </c>
    </row>
    <row r="31" spans="1:16" ht="13.9">
      <c r="A31" s="272">
        <v>15954176</v>
      </c>
      <c r="B31" s="68">
        <v>2</v>
      </c>
      <c r="C31" s="78" t="s">
        <v>97</v>
      </c>
      <c r="D31" s="132">
        <v>277</v>
      </c>
      <c r="E31" s="138">
        <v>3.32E-2</v>
      </c>
      <c r="F31" s="132">
        <v>277.00274280000002</v>
      </c>
      <c r="G31" s="132">
        <f>VLOOKUP(C31,'Demand Projections Historical'!$C$74:$E$92,3,0)</f>
        <v>887.88524415390566</v>
      </c>
      <c r="H31" s="219">
        <f t="shared" si="8"/>
        <v>3.2706282679334307E-2</v>
      </c>
      <c r="I31" s="132">
        <f t="shared" si="9"/>
        <v>317.40793213332097</v>
      </c>
      <c r="J31" s="132">
        <f t="shared" ref="J31:J43" si="12">I31-F31</f>
        <v>40.405189333320948</v>
      </c>
      <c r="K31" s="132">
        <f t="shared" si="10"/>
        <v>1.5954176</v>
      </c>
      <c r="L31" s="268">
        <f t="shared" ref="L31:L43" si="13">(-J31/$J$30)*$K$44-K31</f>
        <v>1.1546786932996607</v>
      </c>
      <c r="M31" s="132">
        <f>J31+L31</f>
        <v>41.559868026620606</v>
      </c>
      <c r="N31" s="132">
        <f t="shared" si="11"/>
        <v>48.476659874971219</v>
      </c>
    </row>
    <row r="32" spans="1:16" ht="13.9">
      <c r="A32" s="272">
        <v>29360916</v>
      </c>
      <c r="B32" s="68">
        <v>3</v>
      </c>
      <c r="C32" s="78" t="s">
        <v>98</v>
      </c>
      <c r="D32" s="132">
        <v>490.65</v>
      </c>
      <c r="E32" s="138">
        <v>5.9299999999999999E-2</v>
      </c>
      <c r="F32" s="132">
        <v>490.64989320000001</v>
      </c>
      <c r="G32" s="132">
        <f>VLOOKUP(C32,'Demand Projections Historical'!$C$74:$E$92,3,0)</f>
        <v>1620.5122889019176</v>
      </c>
      <c r="H32" s="219">
        <f t="shared" si="8"/>
        <v>5.9693449525301513E-2</v>
      </c>
      <c r="I32" s="132">
        <f t="shared" si="9"/>
        <v>579.3129889292685</v>
      </c>
      <c r="J32" s="132">
        <f t="shared" si="12"/>
        <v>88.663095729268491</v>
      </c>
      <c r="K32" s="132">
        <f t="shared" si="10"/>
        <v>2.9360916000000001</v>
      </c>
      <c r="L32" s="268">
        <f t="shared" si="13"/>
        <v>3.0985800582875473</v>
      </c>
      <c r="M32" s="132">
        <f t="shared" ref="M32:M43" si="14">J32+L32</f>
        <v>91.761675787556044</v>
      </c>
      <c r="N32" s="132">
        <f t="shared" si="11"/>
        <v>109.69323123420547</v>
      </c>
    </row>
    <row r="33" spans="1:14" ht="13.9">
      <c r="A33" s="272">
        <v>13253542</v>
      </c>
      <c r="B33" s="68">
        <v>4</v>
      </c>
      <c r="C33" s="78" t="s">
        <v>99</v>
      </c>
      <c r="D33" s="132">
        <v>232.1</v>
      </c>
      <c r="E33" s="138">
        <v>3.0159999999999999E-2</v>
      </c>
      <c r="F33" s="132">
        <v>232.104558</v>
      </c>
      <c r="G33" s="132">
        <f>VLOOKUP(C33,'Demand Projections Historical'!$C$74:$E$92,3,0)</f>
        <v>809.62212685602651</v>
      </c>
      <c r="H33" s="219">
        <f t="shared" si="8"/>
        <v>2.9823369989249508E-2</v>
      </c>
      <c r="I33" s="132">
        <f t="shared" si="9"/>
        <v>289.42984105973915</v>
      </c>
      <c r="J33" s="132">
        <f t="shared" si="12"/>
        <v>57.325283059739149</v>
      </c>
      <c r="K33" s="132">
        <f t="shared" si="10"/>
        <v>1.3253542</v>
      </c>
      <c r="L33" s="268">
        <f t="shared" si="13"/>
        <v>2.5763735497307305</v>
      </c>
      <c r="M33" s="132">
        <f t="shared" si="14"/>
        <v>59.901656609469882</v>
      </c>
      <c r="N33" s="132">
        <f t="shared" si="11"/>
        <v>73.195005939041835</v>
      </c>
    </row>
    <row r="34" spans="1:14" ht="13.9">
      <c r="A34" s="272">
        <v>54372681</v>
      </c>
      <c r="B34" s="68">
        <v>5</v>
      </c>
      <c r="C34" s="78" t="s">
        <v>100</v>
      </c>
      <c r="D34" s="132">
        <v>125.18</v>
      </c>
      <c r="E34" s="138">
        <v>1.5990000000000001E-2</v>
      </c>
      <c r="F34" s="132">
        <v>125.17557600000001</v>
      </c>
      <c r="G34" s="132">
        <f>VLOOKUP(C34,'Demand Projections Historical'!$C$74:$E$92,3,0)</f>
        <v>476.29576368417844</v>
      </c>
      <c r="H34" s="219">
        <f t="shared" si="8"/>
        <v>1.7544906831815633E-2</v>
      </c>
      <c r="I34" s="132">
        <f t="shared" si="9"/>
        <v>170.26981181438632</v>
      </c>
      <c r="J34" s="132">
        <f>I34-F34</f>
        <v>45.094235814386309</v>
      </c>
      <c r="K34" s="132">
        <f t="shared" si="10"/>
        <v>5.4372680999999998</v>
      </c>
      <c r="L34" s="268">
        <f t="shared" si="13"/>
        <v>-2.368021480728391</v>
      </c>
      <c r="M34" s="132">
        <f t="shared" si="14"/>
        <v>42.726214333657921</v>
      </c>
      <c r="N34" s="132">
        <f t="shared" si="11"/>
        <v>37.758352936968009</v>
      </c>
    </row>
    <row r="35" spans="1:14" ht="13.9">
      <c r="A35" s="273"/>
      <c r="B35" s="68">
        <v>6</v>
      </c>
      <c r="C35" s="78" t="s">
        <v>101</v>
      </c>
      <c r="D35" s="132">
        <v>1.56</v>
      </c>
      <c r="E35" s="138">
        <v>5.0000000000000001E-4</v>
      </c>
      <c r="F35" s="132">
        <v>1.5575748</v>
      </c>
      <c r="G35" s="132">
        <f>VLOOKUP(C35,'Demand Projections Historical'!$C$74:$E$92,3,0)</f>
        <v>9.6288927584068791</v>
      </c>
      <c r="H35" s="219">
        <f t="shared" si="8"/>
        <v>3.5469143171261154E-4</v>
      </c>
      <c r="I35" s="132">
        <f t="shared" si="9"/>
        <v>3.4422094063426747</v>
      </c>
      <c r="J35" s="132">
        <f>I35-F35</f>
        <v>1.8846346063426747</v>
      </c>
      <c r="K35" s="132">
        <f t="shared" si="10"/>
        <v>0</v>
      </c>
      <c r="L35" s="268">
        <f t="shared" si="13"/>
        <v>0.12827378687353533</v>
      </c>
      <c r="M35" s="132">
        <f t="shared" si="14"/>
        <v>2.0129083932162102</v>
      </c>
      <c r="N35" s="132">
        <f t="shared" si="11"/>
        <v>2.7677274998225379</v>
      </c>
    </row>
    <row r="36" spans="1:14" ht="13.9">
      <c r="A36" s="272">
        <v>256332</v>
      </c>
      <c r="B36" s="68">
        <v>7</v>
      </c>
      <c r="C36" s="78" t="s">
        <v>102</v>
      </c>
      <c r="D36" s="132">
        <v>0.52</v>
      </c>
      <c r="E36" s="138">
        <v>2.1000000000000001E-4</v>
      </c>
      <c r="F36" s="132">
        <v>0.5181732</v>
      </c>
      <c r="G36" s="132">
        <f>VLOOKUP(C36,'Demand Projections Historical'!$C$74:$E$92,3,0)</f>
        <v>4.7581209253517445</v>
      </c>
      <c r="H36" s="219">
        <f t="shared" si="8"/>
        <v>1.7527090244112077E-4</v>
      </c>
      <c r="I36" s="132">
        <f t="shared" si="9"/>
        <v>1.7009690539404798</v>
      </c>
      <c r="J36" s="132">
        <f t="shared" si="12"/>
        <v>1.1827958539404797</v>
      </c>
      <c r="K36" s="132">
        <f t="shared" si="10"/>
        <v>2.5633199999999998E-2</v>
      </c>
      <c r="L36" s="268">
        <f t="shared" si="13"/>
        <v>5.4871372489886383E-2</v>
      </c>
      <c r="M36" s="132">
        <f t="shared" si="14"/>
        <v>1.2376672264303661</v>
      </c>
      <c r="N36" s="132">
        <f t="shared" si="11"/>
        <v>1.4921891530709683</v>
      </c>
    </row>
    <row r="37" spans="1:14" ht="13.9">
      <c r="A37" s="273"/>
      <c r="B37" s="68">
        <v>8</v>
      </c>
      <c r="C37" s="78" t="s">
        <v>103</v>
      </c>
      <c r="D37" s="132">
        <v>1.22</v>
      </c>
      <c r="E37" s="138">
        <v>2.3000000000000001E-4</v>
      </c>
      <c r="F37" s="132">
        <v>1.2240636</v>
      </c>
      <c r="G37" s="132">
        <f>VLOOKUP(C37,'Demand Projections Historical'!$C$74:$E$92,3,0)</f>
        <v>4.8354931743877367</v>
      </c>
      <c r="H37" s="219">
        <f t="shared" si="8"/>
        <v>1.7812099896560851E-4</v>
      </c>
      <c r="I37" s="132">
        <f t="shared" si="9"/>
        <v>1.7286286706901883</v>
      </c>
      <c r="J37" s="132">
        <f t="shared" si="12"/>
        <v>0.5045650706901883</v>
      </c>
      <c r="K37" s="132">
        <f t="shared" si="10"/>
        <v>0</v>
      </c>
      <c r="L37" s="268">
        <f t="shared" si="13"/>
        <v>3.4342186078787994E-2</v>
      </c>
      <c r="M37" s="132">
        <f t="shared" si="14"/>
        <v>0.53890725676897633</v>
      </c>
      <c r="N37" s="132">
        <f t="shared" si="11"/>
        <v>0.95915273729556971</v>
      </c>
    </row>
    <row r="38" spans="1:14" ht="13.9">
      <c r="A38" s="272">
        <v>762905</v>
      </c>
      <c r="B38" s="68">
        <v>9</v>
      </c>
      <c r="C38" s="78" t="s">
        <v>104</v>
      </c>
      <c r="D38" s="132">
        <v>1.59</v>
      </c>
      <c r="E38" s="138">
        <v>1.7000000000000001E-4</v>
      </c>
      <c r="F38" s="132">
        <v>1.5906252000000001</v>
      </c>
      <c r="G38" s="132">
        <f>VLOOKUP(C38,'Demand Projections Historical'!$C$74:$E$92,3,0)</f>
        <v>5.00902343187059</v>
      </c>
      <c r="H38" s="219">
        <f t="shared" si="8"/>
        <v>1.8451318724897194E-4</v>
      </c>
      <c r="I38" s="132">
        <f t="shared" si="9"/>
        <v>1.790663579540017</v>
      </c>
      <c r="J38" s="132">
        <f t="shared" si="12"/>
        <v>0.20003837954001691</v>
      </c>
      <c r="K38" s="132">
        <f t="shared" si="10"/>
        <v>7.6290499999999997E-2</v>
      </c>
      <c r="L38" s="268">
        <f t="shared" si="13"/>
        <v>-6.2675298211129785E-2</v>
      </c>
      <c r="M38" s="132">
        <f t="shared" si="14"/>
        <v>0.13736308132888714</v>
      </c>
      <c r="N38" s="132">
        <f t="shared" si="11"/>
        <v>-0.87003397718980424</v>
      </c>
    </row>
    <row r="39" spans="1:14" ht="13.9">
      <c r="A39" s="272">
        <v>10005</v>
      </c>
      <c r="B39" s="68">
        <v>10</v>
      </c>
      <c r="C39" s="78" t="s">
        <v>105</v>
      </c>
      <c r="D39" s="132">
        <v>5.14</v>
      </c>
      <c r="E39" s="138">
        <v>5.8E-4</v>
      </c>
      <c r="F39" s="132">
        <v>5.1405599999999998</v>
      </c>
      <c r="G39" s="132">
        <f>VLOOKUP(C39,'Demand Projections Historical'!$C$74:$E$92,3,0)</f>
        <v>13.642857587808855</v>
      </c>
      <c r="H39" s="219">
        <f t="shared" si="8"/>
        <v>5.0255048133611283E-4</v>
      </c>
      <c r="I39" s="132">
        <f t="shared" si="9"/>
        <v>4.8771519110696859</v>
      </c>
      <c r="J39" s="132">
        <f t="shared" si="12"/>
        <v>-0.26340808893031387</v>
      </c>
      <c r="K39" s="132">
        <f t="shared" si="10"/>
        <v>1.0005000000000001E-3</v>
      </c>
      <c r="L39" s="268">
        <f t="shared" si="13"/>
        <v>-1.8928831012546811E-2</v>
      </c>
      <c r="M39" s="132">
        <f t="shared" si="14"/>
        <v>-0.2823369199428607</v>
      </c>
      <c r="N39" s="132">
        <f t="shared" si="11"/>
        <v>-0.18566684038687226</v>
      </c>
    </row>
    <row r="40" spans="1:14" ht="13.9">
      <c r="A40" s="272">
        <v>809</v>
      </c>
      <c r="B40" s="68">
        <v>11</v>
      </c>
      <c r="C40" s="78" t="s">
        <v>106</v>
      </c>
      <c r="D40" s="132">
        <v>3.38</v>
      </c>
      <c r="E40" s="138">
        <v>3.5E-4</v>
      </c>
      <c r="F40" s="132">
        <v>3.3825612</v>
      </c>
      <c r="G40" s="132">
        <f>VLOOKUP(C40,'Demand Projections Historical'!$C$74:$E$92,3,0)</f>
        <v>7.8086218578848205</v>
      </c>
      <c r="H40" s="219">
        <f t="shared" si="8"/>
        <v>2.8763964206137907E-4</v>
      </c>
      <c r="I40" s="132">
        <f t="shared" si="9"/>
        <v>2.7914851981622149</v>
      </c>
      <c r="J40" s="132">
        <f t="shared" si="12"/>
        <v>-0.59107600183778519</v>
      </c>
      <c r="K40" s="132">
        <f t="shared" si="10"/>
        <v>8.0900000000000001E-5</v>
      </c>
      <c r="L40" s="268">
        <f t="shared" si="13"/>
        <v>-4.0311275071450589E-2</v>
      </c>
      <c r="M40" s="132">
        <f t="shared" si="14"/>
        <v>-0.6313872769092358</v>
      </c>
      <c r="N40" s="132">
        <f t="shared" si="11"/>
        <v>-0.6313872769092358</v>
      </c>
    </row>
    <row r="41" spans="1:14" ht="13.9">
      <c r="B41" s="68">
        <v>12</v>
      </c>
      <c r="C41" s="78" t="s">
        <v>107</v>
      </c>
      <c r="D41" s="132">
        <v>2.63</v>
      </c>
      <c r="E41" s="138">
        <v>2.7E-4</v>
      </c>
      <c r="F41" s="132">
        <v>2.6308812000000001</v>
      </c>
      <c r="G41" s="132">
        <f>VLOOKUP(C41,'Demand Projections Historical'!$C$74:$E$92,3,0)</f>
        <v>5.5719009025949369</v>
      </c>
      <c r="H41" s="219">
        <f t="shared" si="8"/>
        <v>2.05247431671383E-4</v>
      </c>
      <c r="I41" s="132">
        <f t="shared" si="9"/>
        <v>1.9918852748023379</v>
      </c>
      <c r="J41" s="132">
        <f t="shared" si="12"/>
        <v>-0.63899592519766224</v>
      </c>
      <c r="K41" s="132">
        <f t="shared" si="10"/>
        <v>0</v>
      </c>
      <c r="L41" s="268">
        <f t="shared" si="13"/>
        <v>-4.3491946314689958E-2</v>
      </c>
      <c r="M41" s="132">
        <f t="shared" si="14"/>
        <v>-0.68248787151235224</v>
      </c>
      <c r="N41" s="132">
        <f t="shared" si="11"/>
        <v>-0.68248787151235224</v>
      </c>
    </row>
    <row r="42" spans="1:14" ht="13.9">
      <c r="B42" s="68">
        <v>13</v>
      </c>
      <c r="C42" s="78" t="s">
        <v>108</v>
      </c>
      <c r="D42" s="132">
        <v>0.56000000000000005</v>
      </c>
      <c r="E42" s="138">
        <v>6.0000000000000002E-5</v>
      </c>
      <c r="F42" s="132">
        <v>0.56376000000000004</v>
      </c>
      <c r="G42" s="132">
        <f>VLOOKUP(C42,'Demand Projections Historical'!$C$74:$E$92,3,0)</f>
        <v>1.1110843832780235</v>
      </c>
      <c r="H42" s="219">
        <f t="shared" si="8"/>
        <v>4.0928081820656768E-5</v>
      </c>
      <c r="I42" s="132">
        <f t="shared" si="9"/>
        <v>0.39719884843673842</v>
      </c>
      <c r="J42" s="132">
        <f t="shared" si="12"/>
        <v>-0.16656115156326162</v>
      </c>
      <c r="K42" s="132">
        <f t="shared" si="10"/>
        <v>0</v>
      </c>
      <c r="L42" s="268">
        <f t="shared" si="13"/>
        <v>-1.1336642967889797E-2</v>
      </c>
      <c r="M42" s="132">
        <f t="shared" si="14"/>
        <v>-0.17789779453115143</v>
      </c>
      <c r="N42" s="132">
        <f t="shared" si="11"/>
        <v>-0.17789779453115143</v>
      </c>
    </row>
    <row r="43" spans="1:14" ht="13.9">
      <c r="B43" s="68">
        <v>14</v>
      </c>
      <c r="C43" s="78" t="s">
        <v>109</v>
      </c>
      <c r="D43" s="132">
        <v>0.3</v>
      </c>
      <c r="E43" s="138">
        <v>3.0000000000000001E-5</v>
      </c>
      <c r="F43" s="132">
        <v>0.30067199999999999</v>
      </c>
      <c r="G43" s="132">
        <f>VLOOKUP(C43,'Demand Projections Historical'!$C$74:$E$92,3,0)</f>
        <v>0.61456767949111812</v>
      </c>
      <c r="H43" s="219">
        <f t="shared" si="8"/>
        <v>2.2638313209240437E-5</v>
      </c>
      <c r="I43" s="132">
        <f t="shared" si="9"/>
        <v>0.21970030202398119</v>
      </c>
      <c r="J43" s="132">
        <f t="shared" si="12"/>
        <v>-8.0971697976018803E-2</v>
      </c>
      <c r="K43" s="132">
        <f t="shared" si="10"/>
        <v>0</v>
      </c>
      <c r="L43" s="268">
        <f t="shared" si="13"/>
        <v>-5.5111724543359941E-3</v>
      </c>
      <c r="M43" s="132">
        <f t="shared" si="14"/>
        <v>-8.6482870430354797E-2</v>
      </c>
      <c r="N43" s="132">
        <f t="shared" si="11"/>
        <v>-8.6482870430354797E-2</v>
      </c>
    </row>
    <row r="44" spans="1:14" ht="13.9">
      <c r="B44" s="137"/>
      <c r="C44" s="79" t="s">
        <v>191</v>
      </c>
      <c r="D44" s="139">
        <f t="shared" ref="D44:M44" si="15">SUM(D30:D43)</f>
        <v>9704.7899999999954</v>
      </c>
      <c r="E44" s="222">
        <f t="shared" si="15"/>
        <v>0.99998999999999982</v>
      </c>
      <c r="F44" s="139">
        <f t="shared" si="15"/>
        <v>9704.7999995999962</v>
      </c>
      <c r="G44" s="139">
        <f t="shared" si="15"/>
        <v>27147.238127276451</v>
      </c>
      <c r="H44" s="222">
        <f t="shared" si="15"/>
        <v>0.99999999999999978</v>
      </c>
      <c r="I44" s="139">
        <f t="shared" si="15"/>
        <v>9704.7999995999962</v>
      </c>
      <c r="J44" s="139">
        <f t="shared" si="15"/>
        <v>-4.2331416150176437E-12</v>
      </c>
      <c r="K44" s="139">
        <f t="shared" si="15"/>
        <v>15.893979600000002</v>
      </c>
      <c r="L44" s="269">
        <f t="shared" si="15"/>
        <v>-233.51882498172773</v>
      </c>
      <c r="M44" s="139">
        <f t="shared" si="15"/>
        <v>-4.5089210143345326E-12</v>
      </c>
      <c r="N44" s="139">
        <f>SUM(N30:N43)</f>
        <v>-4.1625314306514838E-12</v>
      </c>
    </row>
    <row r="48" spans="1:14">
      <c r="D48" s="221"/>
      <c r="G48" s="221"/>
      <c r="H48" s="253"/>
      <c r="I48" s="262"/>
    </row>
    <row r="49" spans="7:9">
      <c r="H49" s="253"/>
      <c r="I49" s="262"/>
    </row>
    <row r="50" spans="7:9">
      <c r="G50" s="221"/>
      <c r="H50" s="253"/>
      <c r="I50" s="262"/>
    </row>
    <row r="51" spans="7:9">
      <c r="H51" s="253"/>
      <c r="I51" s="262"/>
    </row>
    <row r="52" spans="7:9">
      <c r="H52" s="253"/>
      <c r="I52" s="262"/>
    </row>
    <row r="53" spans="7:9">
      <c r="H53" s="253"/>
      <c r="I53" s="262"/>
    </row>
    <row r="54" spans="7:9">
      <c r="H54" s="253"/>
      <c r="I54" s="262"/>
    </row>
    <row r="55" spans="7:9">
      <c r="H55" s="253"/>
      <c r="I55" s="262"/>
    </row>
    <row r="56" spans="7:9">
      <c r="H56" s="253"/>
      <c r="I56" s="262"/>
    </row>
    <row r="57" spans="7:9">
      <c r="H57" s="253"/>
      <c r="I57" s="262"/>
    </row>
    <row r="58" spans="7:9">
      <c r="H58" s="253"/>
      <c r="I58" s="262"/>
    </row>
    <row r="59" spans="7:9">
      <c r="H59" s="253"/>
      <c r="I59" s="262"/>
    </row>
    <row r="60" spans="7:9">
      <c r="H60" s="253"/>
      <c r="I60" s="262"/>
    </row>
    <row r="61" spans="7:9">
      <c r="H61" s="253"/>
      <c r="I61" s="262"/>
    </row>
    <row r="62" spans="7:9">
      <c r="G62" s="221"/>
    </row>
  </sheetData>
  <mergeCells count="12">
    <mergeCell ref="B26:B29"/>
    <mergeCell ref="C26:C29"/>
    <mergeCell ref="D26:M26"/>
    <mergeCell ref="D27:E27"/>
    <mergeCell ref="J27:M27"/>
    <mergeCell ref="F27:I27"/>
    <mergeCell ref="B4:B7"/>
    <mergeCell ref="C4:C7"/>
    <mergeCell ref="D4:M4"/>
    <mergeCell ref="D5:E5"/>
    <mergeCell ref="J5:M5"/>
    <mergeCell ref="F5:I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EF719-025C-40DB-917C-E8C0F560D0C0}">
  <dimension ref="B4:P84"/>
  <sheetViews>
    <sheetView zoomScale="86" workbookViewId="0"/>
  </sheetViews>
  <sheetFormatPr defaultRowHeight="13.15"/>
  <cols>
    <col min="2" max="2" width="10.42578125" bestFit="1" customWidth="1"/>
    <col min="3" max="3" width="47.7109375" customWidth="1"/>
    <col min="4" max="4" width="18.140625" customWidth="1"/>
    <col min="5" max="5" width="17" customWidth="1"/>
    <col min="6" max="6" width="18.7109375" customWidth="1"/>
    <col min="7" max="7" width="21.28515625" customWidth="1"/>
    <col min="8" max="8" width="17.7109375" customWidth="1"/>
    <col min="9" max="9" width="21.28515625" customWidth="1"/>
    <col min="10" max="12" width="17" customWidth="1"/>
    <col min="13" max="14" width="19.140625" customWidth="1"/>
    <col min="15" max="15" width="27.7109375" customWidth="1"/>
    <col min="16" max="17" width="22.28515625" customWidth="1"/>
    <col min="18" max="18" width="32.28515625" customWidth="1"/>
    <col min="19" max="19" width="17" customWidth="1"/>
  </cols>
  <sheetData>
    <row r="4" spans="2:15" ht="13.9">
      <c r="B4" s="411" t="s">
        <v>2</v>
      </c>
      <c r="C4" s="411" t="s">
        <v>82</v>
      </c>
      <c r="D4" s="430" t="s">
        <v>120</v>
      </c>
      <c r="E4" s="431"/>
      <c r="F4" s="431"/>
      <c r="G4" s="431"/>
      <c r="H4" s="431"/>
      <c r="I4" s="431"/>
      <c r="J4" s="431"/>
      <c r="K4" s="431"/>
      <c r="L4" s="431"/>
      <c r="M4" s="431"/>
      <c r="N4" s="431"/>
      <c r="O4" s="432"/>
    </row>
    <row r="5" spans="2:15" ht="13.9" customHeight="1">
      <c r="B5" s="411"/>
      <c r="C5" s="411"/>
      <c r="D5" s="411" t="s">
        <v>257</v>
      </c>
      <c r="E5" s="411"/>
      <c r="F5" s="411"/>
      <c r="G5" s="411" t="s">
        <v>56</v>
      </c>
      <c r="H5" s="411"/>
      <c r="I5" s="411"/>
      <c r="J5" s="411"/>
      <c r="K5" s="430" t="s">
        <v>258</v>
      </c>
      <c r="L5" s="431"/>
      <c r="M5" s="431"/>
      <c r="N5" s="431"/>
      <c r="O5" s="432"/>
    </row>
    <row r="6" spans="2:15" ht="41.45">
      <c r="B6" s="411"/>
      <c r="C6" s="411"/>
      <c r="D6" s="50" t="s">
        <v>163</v>
      </c>
      <c r="E6" s="50" t="s">
        <v>259</v>
      </c>
      <c r="F6" s="50" t="s">
        <v>189</v>
      </c>
      <c r="G6" s="50" t="s">
        <v>260</v>
      </c>
      <c r="H6" s="50" t="s">
        <v>261</v>
      </c>
      <c r="I6" s="50" t="s">
        <v>249</v>
      </c>
      <c r="J6" s="50" t="s">
        <v>250</v>
      </c>
      <c r="K6" s="50" t="s">
        <v>262</v>
      </c>
      <c r="L6" s="50" t="s">
        <v>263</v>
      </c>
      <c r="M6" s="50" t="s">
        <v>264</v>
      </c>
      <c r="N6" s="50" t="s">
        <v>265</v>
      </c>
      <c r="O6" s="50" t="s">
        <v>266</v>
      </c>
    </row>
    <row r="7" spans="2:15" ht="13.9">
      <c r="B7" s="414"/>
      <c r="C7" s="414"/>
      <c r="D7" s="50"/>
      <c r="E7" s="50"/>
      <c r="F7" s="50"/>
      <c r="G7" s="50"/>
      <c r="H7" s="50" t="s">
        <v>201</v>
      </c>
      <c r="I7" s="50"/>
      <c r="J7" s="50" t="s">
        <v>204</v>
      </c>
      <c r="K7" s="50" t="s">
        <v>202</v>
      </c>
      <c r="L7" s="50" t="s">
        <v>267</v>
      </c>
      <c r="M7" s="50"/>
      <c r="N7" s="50" t="s">
        <v>205</v>
      </c>
      <c r="O7" s="50" t="s">
        <v>268</v>
      </c>
    </row>
    <row r="8" spans="2:15" ht="13.9">
      <c r="B8" s="68">
        <v>1</v>
      </c>
      <c r="C8" s="78" t="s">
        <v>96</v>
      </c>
      <c r="D8" s="132">
        <f>VLOOKUP(C8,'Past True Up FY21 FY22'!$P$10:$W$24,6,0)</f>
        <v>17775.72</v>
      </c>
      <c r="E8" s="132">
        <f>VLOOKUP(C8,'Past True Up FY21 FY22'!$C$10:$D$23,2,0)</f>
        <v>5671.59</v>
      </c>
      <c r="F8" s="138">
        <f>D8/$D$22</f>
        <v>0.83576074185277949</v>
      </c>
      <c r="G8" s="132">
        <f>E8</f>
        <v>5671.59</v>
      </c>
      <c r="H8" s="132">
        <f>VLOOKUP(C8,'Past True Up FY21 FY22'!$P$10:$W$23,8,0)</f>
        <v>17700.565156249999</v>
      </c>
      <c r="I8" s="191">
        <f>H8/$H$22</f>
        <v>0.86604008422608136</v>
      </c>
      <c r="J8" s="132">
        <f>I8*$J$22</f>
        <v>5880.169680671509</v>
      </c>
      <c r="K8" s="132">
        <f>'POA Data'!R7</f>
        <v>530.10341991807479</v>
      </c>
      <c r="L8" s="132">
        <f>H8-K8</f>
        <v>17170.461736331923</v>
      </c>
      <c r="M8" s="138">
        <f>L8/$L$22</f>
        <v>0.8624731174421012</v>
      </c>
      <c r="N8" s="132">
        <f>M8*$J$22</f>
        <v>5855.9509749589834</v>
      </c>
      <c r="O8" s="132">
        <f>N8-J8</f>
        <v>-24.218705712525662</v>
      </c>
    </row>
    <row r="9" spans="2:15" ht="13.9">
      <c r="B9" s="68">
        <v>2</v>
      </c>
      <c r="C9" s="78" t="s">
        <v>97</v>
      </c>
      <c r="D9" s="132">
        <f>VLOOKUP(C9,'Past True Up FY21 FY22'!$P$10:$W$24,6,0)</f>
        <v>808.72</v>
      </c>
      <c r="E9" s="132">
        <f>VLOOKUP(C9,'Past True Up FY21 FY22'!$C$10:$D$23,2,0)</f>
        <v>258.02999999999997</v>
      </c>
      <c r="F9" s="138">
        <f t="shared" ref="F9:F21" si="0">D9/$D$22</f>
        <v>3.8023575256089757E-2</v>
      </c>
      <c r="G9" s="132">
        <f t="shared" ref="G9:G21" si="1">E9</f>
        <v>258.02999999999997</v>
      </c>
      <c r="H9" s="132">
        <f>VLOOKUP(C9,'Past True Up FY21 FY22'!$P$10:$W$23,8,0)</f>
        <v>657.87330464360411</v>
      </c>
      <c r="I9" s="191">
        <f t="shared" ref="I9:I21" si="2">H9/$H$22</f>
        <v>3.2187935646928359E-2</v>
      </c>
      <c r="J9" s="132">
        <f t="shared" ref="J9:J21" si="3">I9*$J$22</f>
        <v>218.54707042066244</v>
      </c>
      <c r="K9" s="132">
        <v>0</v>
      </c>
      <c r="L9" s="132">
        <f t="shared" ref="L9:L21" si="4">H9-K9</f>
        <v>657.87330464360411</v>
      </c>
      <c r="M9" s="138">
        <f t="shared" ref="M9:M21" si="5">L9/$L$22</f>
        <v>3.3045007679514973E-2</v>
      </c>
      <c r="N9" s="132">
        <f t="shared" ref="N9:N21" si="6">M9*$J$22</f>
        <v>224.36634954175642</v>
      </c>
      <c r="O9" s="132">
        <f t="shared" ref="O9:O21" si="7">N9-J9</f>
        <v>5.8192791210939845</v>
      </c>
    </row>
    <row r="10" spans="2:15" ht="13.9">
      <c r="B10" s="68">
        <v>3</v>
      </c>
      <c r="C10" s="78" t="s">
        <v>98</v>
      </c>
      <c r="D10" s="132">
        <f>VLOOKUP(C10,'Past True Up FY21 FY22'!$P$10:$W$24,6,0)</f>
        <v>1482.3</v>
      </c>
      <c r="E10" s="132">
        <f>VLOOKUP(C10,'Past True Up FY21 FY22'!$C$10:$D$23,2,0)</f>
        <v>472.95</v>
      </c>
      <c r="F10" s="138">
        <f t="shared" si="0"/>
        <v>6.9693275301837276E-2</v>
      </c>
      <c r="G10" s="132">
        <f t="shared" si="1"/>
        <v>472.95</v>
      </c>
      <c r="H10" s="132">
        <f>VLOOKUP(C10,'Past True Up FY21 FY22'!$P$10:$W$23,8,0)</f>
        <v>1217.9604189738923</v>
      </c>
      <c r="I10" s="191">
        <f t="shared" si="2"/>
        <v>5.9591461318947575E-2</v>
      </c>
      <c r="J10" s="132">
        <f t="shared" si="3"/>
        <v>404.60933674648476</v>
      </c>
      <c r="K10" s="132">
        <v>0</v>
      </c>
      <c r="L10" s="132">
        <f t="shared" si="4"/>
        <v>1217.9604189738923</v>
      </c>
      <c r="M10" s="138">
        <f t="shared" si="5"/>
        <v>6.1178210324465451E-2</v>
      </c>
      <c r="N10" s="132">
        <f t="shared" si="6"/>
        <v>415.38291820422955</v>
      </c>
      <c r="O10" s="132">
        <f t="shared" si="7"/>
        <v>10.773581457744797</v>
      </c>
    </row>
    <row r="11" spans="2:15" ht="13.9">
      <c r="B11" s="68">
        <v>4</v>
      </c>
      <c r="C11" s="78" t="s">
        <v>99</v>
      </c>
      <c r="D11" s="132">
        <f>VLOOKUP(C11,'Past True Up FY21 FY22'!$P$10:$W$24,6,0)</f>
        <v>811.13</v>
      </c>
      <c r="E11" s="132">
        <f>VLOOKUP(C11,'Past True Up FY21 FY22'!$C$10:$D$23,2,0)</f>
        <v>258.8</v>
      </c>
      <c r="F11" s="138">
        <f t="shared" si="0"/>
        <v>3.8136886187397474E-2</v>
      </c>
      <c r="G11" s="132">
        <f t="shared" si="1"/>
        <v>258.8</v>
      </c>
      <c r="H11" s="132">
        <f>VLOOKUP(C11,'Past True Up FY21 FY22'!$P$10:$W$23,8,0)</f>
        <v>616.7719263559004</v>
      </c>
      <c r="I11" s="191">
        <f t="shared" si="2"/>
        <v>3.0176957986052806E-2</v>
      </c>
      <c r="J11" s="132">
        <f t="shared" si="3"/>
        <v>204.89309517706246</v>
      </c>
      <c r="K11" s="132">
        <v>0</v>
      </c>
      <c r="L11" s="132">
        <f t="shared" si="4"/>
        <v>616.7719263559004</v>
      </c>
      <c r="M11" s="138">
        <f t="shared" si="5"/>
        <v>3.0980483474673425E-2</v>
      </c>
      <c r="N11" s="132">
        <f t="shared" si="6"/>
        <v>210.34880825765967</v>
      </c>
      <c r="O11" s="132">
        <f t="shared" si="7"/>
        <v>5.4557130805972065</v>
      </c>
    </row>
    <row r="12" spans="2:15" ht="13.9">
      <c r="B12" s="68">
        <v>5</v>
      </c>
      <c r="C12" s="78" t="s">
        <v>100</v>
      </c>
      <c r="D12" s="132">
        <f>VLOOKUP(C12,'Past True Up FY21 FY22'!$P$10:$W$24,6,0)</f>
        <v>362.46</v>
      </c>
      <c r="E12" s="132">
        <f>VLOOKUP(C12,'Past True Up FY21 FY22'!$C$10:$D$23,2,0)</f>
        <v>115.65</v>
      </c>
      <c r="F12" s="138">
        <f t="shared" si="0"/>
        <v>1.704177600074475E-2</v>
      </c>
      <c r="G12" s="132">
        <f t="shared" si="1"/>
        <v>115.65</v>
      </c>
      <c r="H12" s="132">
        <f>VLOOKUP(C12,'Past True Up FY21 FY22'!$P$10:$W$23,8,0)</f>
        <v>232.45833333333334</v>
      </c>
      <c r="I12" s="191">
        <f t="shared" si="2"/>
        <v>1.1373548403790365E-2</v>
      </c>
      <c r="J12" s="132">
        <f t="shared" si="3"/>
        <v>77.223209068183522</v>
      </c>
      <c r="K12" s="132">
        <v>0</v>
      </c>
      <c r="L12" s="132">
        <f t="shared" si="4"/>
        <v>232.45833333333334</v>
      </c>
      <c r="M12" s="138">
        <f t="shared" si="5"/>
        <v>1.1676393244636474E-2</v>
      </c>
      <c r="N12" s="132">
        <f t="shared" si="6"/>
        <v>79.279440740973172</v>
      </c>
      <c r="O12" s="132">
        <f t="shared" si="7"/>
        <v>2.0562316727896501</v>
      </c>
    </row>
    <row r="13" spans="2:15" ht="13.9">
      <c r="B13" s="68">
        <v>6</v>
      </c>
      <c r="C13" s="78" t="s">
        <v>101</v>
      </c>
      <c r="D13" s="132">
        <f>VLOOKUP(C13,'Past True Up FY21 FY22'!$P$10:$W$24,6,0)</f>
        <v>15.8</v>
      </c>
      <c r="E13" s="132">
        <f>VLOOKUP(C13,'Past True Up FY21 FY22'!$C$10:$D$23,2,0)</f>
        <v>5.04</v>
      </c>
      <c r="F13" s="138">
        <f t="shared" si="0"/>
        <v>7.4286834633274584E-4</v>
      </c>
      <c r="G13" s="132">
        <f t="shared" si="1"/>
        <v>5.04</v>
      </c>
      <c r="H13" s="132">
        <f>VLOOKUP(C13,'Past True Up FY21 FY22'!$P$10:$W$23,8,0)</f>
        <v>6.7374462383596105</v>
      </c>
      <c r="I13" s="191">
        <f t="shared" si="2"/>
        <v>3.2964475745438971E-4</v>
      </c>
      <c r="J13" s="132">
        <f t="shared" si="3"/>
        <v>2.238195602583219</v>
      </c>
      <c r="K13" s="132">
        <v>0</v>
      </c>
      <c r="L13" s="132">
        <f t="shared" si="4"/>
        <v>6.7374462383596105</v>
      </c>
      <c r="M13" s="138">
        <f t="shared" si="5"/>
        <v>3.384222480459591E-4</v>
      </c>
      <c r="N13" s="132">
        <f t="shared" si="6"/>
        <v>2.2977923060026098</v>
      </c>
      <c r="O13" s="132">
        <f t="shared" si="7"/>
        <v>5.9596703419390717E-2</v>
      </c>
    </row>
    <row r="14" spans="2:15" ht="13.9">
      <c r="B14" s="68">
        <v>7</v>
      </c>
      <c r="C14" s="78" t="s">
        <v>102</v>
      </c>
      <c r="D14" s="132">
        <f>VLOOKUP(C14,'Past True Up FY21 FY22'!$P$10:$W$24,6,0)</f>
        <v>7.25</v>
      </c>
      <c r="E14" s="132">
        <f>VLOOKUP(C14,'Past True Up FY21 FY22'!$C$10:$D$23,2,0)</f>
        <v>2.31</v>
      </c>
      <c r="F14" s="138">
        <f t="shared" si="0"/>
        <v>3.4087313360205108E-4</v>
      </c>
      <c r="G14" s="132">
        <f t="shared" si="1"/>
        <v>2.31</v>
      </c>
      <c r="H14" s="132">
        <f>VLOOKUP(C14,'Past True Up FY21 FY22'!$P$10:$W$23,8,0)</f>
        <v>3.0861041529314455</v>
      </c>
      <c r="I14" s="191">
        <f t="shared" si="2"/>
        <v>1.5099460819145046E-4</v>
      </c>
      <c r="J14" s="132">
        <f t="shared" si="3"/>
        <v>1.0252111111296551</v>
      </c>
      <c r="K14" s="132">
        <v>0</v>
      </c>
      <c r="L14" s="132">
        <f t="shared" si="4"/>
        <v>3.0861041529314455</v>
      </c>
      <c r="M14" s="138">
        <f t="shared" si="5"/>
        <v>1.5501515977859814E-4</v>
      </c>
      <c r="N14" s="132">
        <f t="shared" si="6"/>
        <v>1.0525095306519434</v>
      </c>
      <c r="O14" s="132">
        <f t="shared" si="7"/>
        <v>2.7298419522288286E-2</v>
      </c>
    </row>
    <row r="15" spans="2:15" ht="13.9">
      <c r="B15" s="68">
        <v>8</v>
      </c>
      <c r="C15" s="78" t="s">
        <v>103</v>
      </c>
      <c r="D15" s="132">
        <f>VLOOKUP(C15,'Past True Up FY21 FY22'!$P$10:$W$24,6,0)</f>
        <v>5</v>
      </c>
      <c r="E15" s="132">
        <f>VLOOKUP(C15,'Past True Up FY21 FY22'!$C$10:$D$23,2,0)</f>
        <v>1.6</v>
      </c>
      <c r="F15" s="138">
        <f t="shared" si="0"/>
        <v>2.3508491972555246E-4</v>
      </c>
      <c r="G15" s="132">
        <f t="shared" si="1"/>
        <v>1.6</v>
      </c>
      <c r="H15" s="132">
        <f>VLOOKUP(C15,'Past True Up FY21 FY22'!$P$10:$W$23,8,0)</f>
        <v>1.6778670681917882</v>
      </c>
      <c r="I15" s="191">
        <f t="shared" si="2"/>
        <v>8.2093431719828481E-5</v>
      </c>
      <c r="J15" s="132">
        <f t="shared" si="3"/>
        <v>0.55739141521675384</v>
      </c>
      <c r="K15" s="132">
        <v>0</v>
      </c>
      <c r="L15" s="132">
        <f t="shared" si="4"/>
        <v>1.6778670681917882</v>
      </c>
      <c r="M15" s="138">
        <f t="shared" si="5"/>
        <v>8.4279343396734615E-5</v>
      </c>
      <c r="N15" s="132">
        <f t="shared" si="6"/>
        <v>0.57223314344767695</v>
      </c>
      <c r="O15" s="132">
        <f t="shared" si="7"/>
        <v>1.4841728230923112E-2</v>
      </c>
    </row>
    <row r="16" spans="2:15" ht="13.9">
      <c r="B16" s="68">
        <v>9</v>
      </c>
      <c r="C16" s="78" t="s">
        <v>104</v>
      </c>
      <c r="D16" s="132">
        <f>VLOOKUP(C16,'Past True Up FY21 FY22'!$P$10:$W$24,6,0)</f>
        <v>0.53</v>
      </c>
      <c r="E16" s="132">
        <f>VLOOKUP(C16,'Past True Up FY21 FY22'!$C$10:$D$23,2,0)</f>
        <v>0.17</v>
      </c>
      <c r="F16" s="138">
        <f t="shared" si="0"/>
        <v>2.4919001490908562E-5</v>
      </c>
      <c r="G16" s="132">
        <f t="shared" si="1"/>
        <v>0.17</v>
      </c>
      <c r="H16" s="132">
        <f>VLOOKUP(C16,'Past True Up FY21 FY22'!$P$10:$W$23,8,0)</f>
        <v>1.3750949106718424</v>
      </c>
      <c r="I16" s="191">
        <f t="shared" si="2"/>
        <v>6.7279620833835395E-5</v>
      </c>
      <c r="J16" s="132">
        <f t="shared" si="3"/>
        <v>0.45680978716790888</v>
      </c>
      <c r="K16" s="132">
        <v>0</v>
      </c>
      <c r="L16" s="132">
        <f t="shared" si="4"/>
        <v>1.3750949106718424</v>
      </c>
      <c r="M16" s="138">
        <f t="shared" si="5"/>
        <v>6.9071083387141908E-5</v>
      </c>
      <c r="N16" s="132">
        <f t="shared" si="6"/>
        <v>0.46897331629534517</v>
      </c>
      <c r="O16" s="132">
        <f t="shared" si="7"/>
        <v>1.216352912743629E-2</v>
      </c>
    </row>
    <row r="17" spans="2:15" ht="13.9">
      <c r="B17" s="68">
        <v>10</v>
      </c>
      <c r="C17" s="78" t="s">
        <v>105</v>
      </c>
      <c r="D17" s="132">
        <v>0</v>
      </c>
      <c r="E17" s="132">
        <v>0</v>
      </c>
      <c r="F17" s="138">
        <v>0</v>
      </c>
      <c r="G17" s="132">
        <v>0</v>
      </c>
      <c r="H17" s="132">
        <v>0</v>
      </c>
      <c r="I17" s="191">
        <v>0</v>
      </c>
      <c r="J17" s="132">
        <v>0</v>
      </c>
      <c r="K17" s="132">
        <v>0</v>
      </c>
      <c r="L17" s="132">
        <f t="shared" si="4"/>
        <v>0</v>
      </c>
      <c r="M17" s="138">
        <f t="shared" si="5"/>
        <v>0</v>
      </c>
      <c r="N17" s="132">
        <f t="shared" si="6"/>
        <v>0</v>
      </c>
      <c r="O17" s="132">
        <f t="shared" si="7"/>
        <v>0</v>
      </c>
    </row>
    <row r="18" spans="2:15" ht="13.9">
      <c r="B18" s="68">
        <v>11</v>
      </c>
      <c r="C18" s="78" t="s">
        <v>106</v>
      </c>
      <c r="D18" s="132">
        <v>0</v>
      </c>
      <c r="E18" s="132">
        <v>0</v>
      </c>
      <c r="F18" s="138">
        <v>0</v>
      </c>
      <c r="G18" s="132">
        <v>0</v>
      </c>
      <c r="H18" s="132">
        <v>0</v>
      </c>
      <c r="I18" s="191">
        <v>0</v>
      </c>
      <c r="J18" s="132">
        <v>0</v>
      </c>
      <c r="K18" s="132">
        <v>0</v>
      </c>
      <c r="L18" s="132">
        <f t="shared" si="4"/>
        <v>0</v>
      </c>
      <c r="M18" s="138">
        <f t="shared" si="5"/>
        <v>0</v>
      </c>
      <c r="N18" s="132">
        <f t="shared" si="6"/>
        <v>0</v>
      </c>
      <c r="O18" s="132">
        <f t="shared" si="7"/>
        <v>0</v>
      </c>
    </row>
    <row r="19" spans="2:15" ht="13.9">
      <c r="B19" s="68">
        <v>12</v>
      </c>
      <c r="C19" s="78" t="s">
        <v>107</v>
      </c>
      <c r="D19" s="132">
        <v>0</v>
      </c>
      <c r="E19" s="132">
        <v>0</v>
      </c>
      <c r="F19" s="138">
        <v>0</v>
      </c>
      <c r="G19" s="132">
        <v>0</v>
      </c>
      <c r="H19" s="132">
        <v>0</v>
      </c>
      <c r="I19" s="191">
        <v>0</v>
      </c>
      <c r="J19" s="132">
        <v>0</v>
      </c>
      <c r="K19" s="132">
        <v>0</v>
      </c>
      <c r="L19" s="132">
        <f t="shared" si="4"/>
        <v>0</v>
      </c>
      <c r="M19" s="138">
        <f t="shared" si="5"/>
        <v>0</v>
      </c>
      <c r="N19" s="132">
        <f t="shared" si="6"/>
        <v>0</v>
      </c>
      <c r="O19" s="132">
        <f t="shared" si="7"/>
        <v>0</v>
      </c>
    </row>
    <row r="20" spans="2:15" ht="13.9">
      <c r="B20" s="68">
        <v>13</v>
      </c>
      <c r="C20" s="78" t="s">
        <v>108</v>
      </c>
      <c r="D20" s="132">
        <v>0</v>
      </c>
      <c r="E20" s="132">
        <v>0</v>
      </c>
      <c r="F20" s="138">
        <v>0</v>
      </c>
      <c r="G20" s="132">
        <v>0</v>
      </c>
      <c r="H20" s="132">
        <v>0</v>
      </c>
      <c r="I20" s="191">
        <v>0</v>
      </c>
      <c r="J20" s="132">
        <v>0</v>
      </c>
      <c r="K20" s="132">
        <v>0</v>
      </c>
      <c r="L20" s="132">
        <f t="shared" si="4"/>
        <v>0</v>
      </c>
      <c r="M20" s="138">
        <f t="shared" si="5"/>
        <v>0</v>
      </c>
      <c r="N20" s="132">
        <f t="shared" si="6"/>
        <v>0</v>
      </c>
      <c r="O20" s="132">
        <f t="shared" si="7"/>
        <v>0</v>
      </c>
    </row>
    <row r="21" spans="2:15" ht="13.9">
      <c r="B21" s="68">
        <v>14</v>
      </c>
      <c r="C21" s="78" t="s">
        <v>109</v>
      </c>
      <c r="D21" s="132">
        <v>0</v>
      </c>
      <c r="E21" s="132">
        <v>0</v>
      </c>
      <c r="F21" s="138">
        <v>0</v>
      </c>
      <c r="G21" s="132">
        <v>0</v>
      </c>
      <c r="H21" s="132">
        <v>0</v>
      </c>
      <c r="I21" s="191">
        <v>0</v>
      </c>
      <c r="J21" s="132">
        <v>0</v>
      </c>
      <c r="K21" s="132">
        <v>0</v>
      </c>
      <c r="L21" s="132">
        <f t="shared" si="4"/>
        <v>0</v>
      </c>
      <c r="M21" s="138">
        <f t="shared" si="5"/>
        <v>0</v>
      </c>
      <c r="N21" s="132">
        <f t="shared" si="6"/>
        <v>0</v>
      </c>
      <c r="O21" s="132">
        <f t="shared" si="7"/>
        <v>0</v>
      </c>
    </row>
    <row r="22" spans="2:15" ht="13.9">
      <c r="B22" s="137"/>
      <c r="C22" s="79" t="s">
        <v>191</v>
      </c>
      <c r="D22" s="139">
        <f>SUM(D8:D21)</f>
        <v>21268.91</v>
      </c>
      <c r="E22" s="139">
        <f>SUM(E8:E21)</f>
        <v>6786.14</v>
      </c>
      <c r="F22" s="222">
        <f t="shared" ref="F22:O22" si="8">SUM(F8:F21)</f>
        <v>1.0000000000000002</v>
      </c>
      <c r="G22" s="139">
        <f t="shared" si="8"/>
        <v>6786.14</v>
      </c>
      <c r="H22" s="139">
        <f t="shared" si="8"/>
        <v>20438.505651926884</v>
      </c>
      <c r="I22" s="222">
        <f t="shared" si="8"/>
        <v>0.99999999999999989</v>
      </c>
      <c r="J22" s="139">
        <v>6789.72</v>
      </c>
      <c r="K22" s="139">
        <f t="shared" si="8"/>
        <v>530.10341991807479</v>
      </c>
      <c r="L22" s="139">
        <f t="shared" si="8"/>
        <v>19908.402232008808</v>
      </c>
      <c r="M22" s="222">
        <f t="shared" si="8"/>
        <v>0.99999999999999989</v>
      </c>
      <c r="N22" s="139">
        <f t="shared" si="8"/>
        <v>6789.72</v>
      </c>
      <c r="O22" s="139">
        <f t="shared" si="8"/>
        <v>1.482147737874584E-14</v>
      </c>
    </row>
    <row r="24" spans="2:15" ht="13.9">
      <c r="B24" s="411" t="s">
        <v>2</v>
      </c>
      <c r="C24" s="411" t="s">
        <v>82</v>
      </c>
      <c r="D24" s="430" t="s">
        <v>119</v>
      </c>
      <c r="E24" s="431"/>
      <c r="F24" s="431"/>
      <c r="G24" s="431"/>
      <c r="H24" s="431"/>
      <c r="I24" s="431"/>
      <c r="J24" s="431"/>
      <c r="K24" s="431"/>
      <c r="L24" s="431"/>
      <c r="M24" s="431"/>
      <c r="N24" s="431"/>
      <c r="O24" s="432"/>
    </row>
    <row r="25" spans="2:15" ht="13.9">
      <c r="B25" s="411"/>
      <c r="C25" s="411"/>
      <c r="D25" s="411" t="s">
        <v>257</v>
      </c>
      <c r="E25" s="411"/>
      <c r="F25" s="411"/>
      <c r="G25" s="411" t="s">
        <v>56</v>
      </c>
      <c r="H25" s="411"/>
      <c r="I25" s="411"/>
      <c r="J25" s="411"/>
      <c r="K25" s="430" t="s">
        <v>258</v>
      </c>
      <c r="L25" s="431"/>
      <c r="M25" s="431"/>
      <c r="N25" s="431"/>
      <c r="O25" s="432"/>
    </row>
    <row r="26" spans="2:15" ht="41.45">
      <c r="B26" s="411"/>
      <c r="C26" s="411"/>
      <c r="D26" s="50" t="s">
        <v>163</v>
      </c>
      <c r="E26" s="50" t="s">
        <v>259</v>
      </c>
      <c r="F26" s="50" t="s">
        <v>189</v>
      </c>
      <c r="G26" s="50" t="s">
        <v>260</v>
      </c>
      <c r="H26" s="50" t="s">
        <v>261</v>
      </c>
      <c r="I26" s="50" t="s">
        <v>249</v>
      </c>
      <c r="J26" s="50" t="s">
        <v>250</v>
      </c>
      <c r="K26" s="50" t="s">
        <v>262</v>
      </c>
      <c r="L26" s="50" t="s">
        <v>263</v>
      </c>
      <c r="M26" s="50" t="s">
        <v>264</v>
      </c>
      <c r="N26" s="50" t="s">
        <v>265</v>
      </c>
      <c r="O26" s="50" t="s">
        <v>266</v>
      </c>
    </row>
    <row r="27" spans="2:15" ht="13.9">
      <c r="B27" s="414"/>
      <c r="C27" s="414"/>
      <c r="D27" s="50"/>
      <c r="E27" s="50"/>
      <c r="F27" s="50"/>
      <c r="G27" s="50"/>
      <c r="H27" s="50" t="s">
        <v>201</v>
      </c>
      <c r="I27" s="50"/>
      <c r="J27" s="50" t="s">
        <v>204</v>
      </c>
      <c r="K27" s="50" t="s">
        <v>202</v>
      </c>
      <c r="L27" s="50" t="s">
        <v>267</v>
      </c>
      <c r="M27" s="50"/>
      <c r="N27" s="50" t="s">
        <v>205</v>
      </c>
      <c r="O27" s="50" t="s">
        <v>268</v>
      </c>
    </row>
    <row r="28" spans="2:15" ht="13.9">
      <c r="B28" s="68">
        <v>1</v>
      </c>
      <c r="C28" s="78" t="s">
        <v>96</v>
      </c>
      <c r="D28" s="132">
        <f>VLOOKUP(C28,'Past True Up FY21 FY22'!$P$10:$Y$23,10,0)</f>
        <v>18309.03</v>
      </c>
      <c r="E28" s="132">
        <f>VLOOKUP(C28,'Past True Up FY21 FY22'!$AG$10:$AP$23,10,0)</f>
        <v>5782</v>
      </c>
      <c r="F28" s="138">
        <f>D28/$D$42</f>
        <v>0.83699341158485863</v>
      </c>
      <c r="G28" s="132">
        <f>VLOOKUP(C28,'Past True Up FY21 FY22'!$C$31:$E$44,3,0)</f>
        <v>5782.44</v>
      </c>
      <c r="H28" s="132">
        <f>VLOOKUP(C28,'Past True Up FY21 FY22'!$AG$10:$AQ$24,11,0)</f>
        <v>20236.826114583328</v>
      </c>
      <c r="I28" s="191">
        <f>H28/$H$42</f>
        <v>0.86448621838607143</v>
      </c>
      <c r="J28" s="132">
        <f>I28*$J$42</f>
        <v>5972.4240677907492</v>
      </c>
      <c r="K28" s="132">
        <f>'POA Data'!R8</f>
        <v>684.13838244341002</v>
      </c>
      <c r="L28" s="132">
        <f>H28-K28</f>
        <v>19552.687732139919</v>
      </c>
      <c r="M28" s="138">
        <f>L28/$L$42</f>
        <v>0.86040655185474879</v>
      </c>
      <c r="N28" s="132">
        <f>M28*$J$42</f>
        <v>5944.2391204057922</v>
      </c>
      <c r="O28" s="132">
        <f>N28-J28</f>
        <v>-28.184947384957013</v>
      </c>
    </row>
    <row r="29" spans="2:15" ht="13.9">
      <c r="B29" s="68">
        <v>2</v>
      </c>
      <c r="C29" s="78" t="s">
        <v>97</v>
      </c>
      <c r="D29" s="132">
        <f>VLOOKUP(C29,'Past True Up FY21 FY22'!$P$10:$Y$23,10,0)</f>
        <v>819.42</v>
      </c>
      <c r="E29" s="132">
        <f>VLOOKUP(C29,'Past True Up FY21 FY22'!$AG$10:$AP$23,10,0)</f>
        <v>259</v>
      </c>
      <c r="F29" s="138">
        <f t="shared" ref="F29:F41" si="9">D29/$D$42</f>
        <v>3.745961098544625E-2</v>
      </c>
      <c r="G29" s="132">
        <f>VLOOKUP(C29,'Past True Up FY21 FY22'!$C$31:$E$44,3,0)</f>
        <v>258.83999999999997</v>
      </c>
      <c r="H29" s="132">
        <f>VLOOKUP(C29,'Past True Up FY21 FY22'!$AG$10:$AQ$24,11,0)</f>
        <v>742.92304777409993</v>
      </c>
      <c r="I29" s="191">
        <f t="shared" ref="I29:I41" si="10">H29/$H$42</f>
        <v>3.1736534794814586E-2</v>
      </c>
      <c r="J29" s="132">
        <f t="shared" ref="J29:J41" si="11">I29*$J$42</f>
        <v>219.25629374484785</v>
      </c>
      <c r="K29" s="132">
        <v>0</v>
      </c>
      <c r="L29" s="132">
        <f t="shared" ref="L29:L41" si="12">H29-K29</f>
        <v>742.92304777409993</v>
      </c>
      <c r="M29" s="138">
        <f t="shared" ref="M29:M41" si="13">L29/$L$42</f>
        <v>3.2691968827283882E-2</v>
      </c>
      <c r="N29" s="132">
        <f t="shared" ref="N29:N41" si="14">M29*$J$42</f>
        <v>225.85704351892653</v>
      </c>
      <c r="O29" s="132">
        <f t="shared" ref="O29:O41" si="15">N29-J29</f>
        <v>6.6007497740786789</v>
      </c>
    </row>
    <row r="30" spans="2:15" ht="13.9">
      <c r="B30" s="68">
        <v>3</v>
      </c>
      <c r="C30" s="78" t="s">
        <v>98</v>
      </c>
      <c r="D30" s="132">
        <f>VLOOKUP(C30,'Past True Up FY21 FY22'!$P$10:$Y$23,10,0)</f>
        <v>1513.18</v>
      </c>
      <c r="E30" s="132">
        <f>VLOOKUP(C30,'Past True Up FY21 FY22'!$AG$10:$AP$23,10,0)</f>
        <v>478</v>
      </c>
      <c r="F30" s="138">
        <f t="shared" si="9"/>
        <v>6.9174701802442645E-2</v>
      </c>
      <c r="G30" s="132">
        <f>VLOOKUP(C30,'Past True Up FY21 FY22'!$C$31:$E$44,3,0)</f>
        <v>477.84</v>
      </c>
      <c r="H30" s="132">
        <f>VLOOKUP(C30,'Past True Up FY21 FY22'!$AG$10:$AQ$24,11,0)</f>
        <v>1346.7361658408295</v>
      </c>
      <c r="I30" s="191">
        <f t="shared" si="10"/>
        <v>5.7530506443029102E-2</v>
      </c>
      <c r="J30" s="132">
        <f t="shared" si="11"/>
        <v>397.45755803256861</v>
      </c>
      <c r="K30" s="132">
        <v>0</v>
      </c>
      <c r="L30" s="132">
        <f t="shared" si="12"/>
        <v>1346.7361658408295</v>
      </c>
      <c r="M30" s="138">
        <f t="shared" si="13"/>
        <v>5.9262472586032365E-2</v>
      </c>
      <c r="N30" s="132">
        <f t="shared" si="14"/>
        <v>409.42308860676667</v>
      </c>
      <c r="O30" s="132">
        <f t="shared" si="15"/>
        <v>11.965530574198056</v>
      </c>
    </row>
    <row r="31" spans="2:15" ht="13.9">
      <c r="B31" s="68">
        <v>4</v>
      </c>
      <c r="C31" s="78" t="s">
        <v>99</v>
      </c>
      <c r="D31" s="132">
        <f>VLOOKUP(C31,'Past True Up FY21 FY22'!$P$10:$Y$23,10,0)</f>
        <v>816.8</v>
      </c>
      <c r="E31" s="132">
        <f>VLOOKUP(C31,'Past True Up FY21 FY22'!$AG$10:$AP$23,10,0)</f>
        <v>258</v>
      </c>
      <c r="F31" s="138">
        <f t="shared" si="9"/>
        <v>3.7339838242796727E-2</v>
      </c>
      <c r="G31" s="132">
        <f>VLOOKUP(C31,'Past True Up FY21 FY22'!$C$31:$E$44,3,0)</f>
        <v>258</v>
      </c>
      <c r="H31" s="132">
        <f>VLOOKUP(C31,'Past True Up FY21 FY22'!$AG$10:$AQ$24,11,0)</f>
        <v>698.49509163311825</v>
      </c>
      <c r="I31" s="191">
        <f t="shared" si="10"/>
        <v>2.983864055104966E-2</v>
      </c>
      <c r="J31" s="132">
        <f t="shared" si="11"/>
        <v>206.14442565660374</v>
      </c>
      <c r="K31" s="132">
        <v>0</v>
      </c>
      <c r="L31" s="132">
        <f t="shared" si="12"/>
        <v>698.49509163311825</v>
      </c>
      <c r="M31" s="138">
        <f t="shared" si="13"/>
        <v>3.0736938139283809E-2</v>
      </c>
      <c r="N31" s="132">
        <f t="shared" si="14"/>
        <v>212.3504403065817</v>
      </c>
      <c r="O31" s="132">
        <f t="shared" si="15"/>
        <v>6.2060146499779592</v>
      </c>
    </row>
    <row r="32" spans="2:15" ht="13.9">
      <c r="B32" s="68">
        <v>5</v>
      </c>
      <c r="C32" s="78" t="s">
        <v>100</v>
      </c>
      <c r="D32" s="132">
        <f>VLOOKUP(C32,'Past True Up FY21 FY22'!$P$10:$Y$23,10,0)</f>
        <v>375</v>
      </c>
      <c r="E32" s="132">
        <f>VLOOKUP(C32,'Past True Up FY21 FY22'!$AG$10:$AP$23,10,0)</f>
        <v>118</v>
      </c>
      <c r="F32" s="138">
        <f t="shared" si="9"/>
        <v>1.7143045226553348E-2</v>
      </c>
      <c r="G32" s="132">
        <f>VLOOKUP(C32,'Past True Up FY21 FY22'!$C$31:$E$44,3,0)</f>
        <v>118.44</v>
      </c>
      <c r="H32" s="132">
        <f>VLOOKUP(C32,'Past True Up FY21 FY22'!$AG$10:$AQ$24,11,0)</f>
        <v>357.75</v>
      </c>
      <c r="I32" s="191">
        <f t="shared" si="10"/>
        <v>1.5282532096510275E-2</v>
      </c>
      <c r="J32" s="132">
        <f t="shared" si="11"/>
        <v>105.58151254323475</v>
      </c>
      <c r="K32" s="132">
        <v>0</v>
      </c>
      <c r="L32" s="132">
        <f t="shared" si="12"/>
        <v>357.75</v>
      </c>
      <c r="M32" s="138">
        <f t="shared" si="13"/>
        <v>1.5742615447188368E-2</v>
      </c>
      <c r="N32" s="132">
        <f t="shared" si="14"/>
        <v>108.76006278306345</v>
      </c>
      <c r="O32" s="132">
        <f t="shared" si="15"/>
        <v>3.1785502398286951</v>
      </c>
    </row>
    <row r="33" spans="2:15" ht="13.9">
      <c r="B33" s="68">
        <v>6</v>
      </c>
      <c r="C33" s="78" t="s">
        <v>101</v>
      </c>
      <c r="D33" s="132">
        <f>VLOOKUP(C33,'Past True Up FY21 FY22'!$P$10:$Y$23,10,0)</f>
        <v>15.8</v>
      </c>
      <c r="E33" s="132">
        <f>VLOOKUP(C33,'Past True Up FY21 FY22'!$AG$10:$AP$23,10,0)</f>
        <v>4.99</v>
      </c>
      <c r="F33" s="138">
        <f t="shared" si="9"/>
        <v>7.2229363887878109E-4</v>
      </c>
      <c r="G33" s="132">
        <f>VLOOKUP(C33,'Past True Up FY21 FY22'!$C$31:$E$44,3,0)</f>
        <v>5.04</v>
      </c>
      <c r="H33" s="132">
        <f>VLOOKUP(C33,'Past True Up FY21 FY22'!$AG$10:$AQ$24,11,0)</f>
        <v>6.808906798181094</v>
      </c>
      <c r="I33" s="191">
        <f t="shared" si="10"/>
        <v>2.9086607039930003E-4</v>
      </c>
      <c r="J33" s="132">
        <f t="shared" si="11"/>
        <v>2.0094889686034203</v>
      </c>
      <c r="K33" s="132">
        <v>0</v>
      </c>
      <c r="L33" s="132">
        <f t="shared" si="12"/>
        <v>6.808906798181094</v>
      </c>
      <c r="M33" s="138">
        <f t="shared" si="13"/>
        <v>2.9962264525370115E-4</v>
      </c>
      <c r="N33" s="132">
        <f t="shared" si="14"/>
        <v>2.06998499190553</v>
      </c>
      <c r="O33" s="132">
        <f t="shared" si="15"/>
        <v>6.049602330210968E-2</v>
      </c>
    </row>
    <row r="34" spans="2:15" ht="13.9">
      <c r="B34" s="68">
        <v>7</v>
      </c>
      <c r="C34" s="78" t="s">
        <v>102</v>
      </c>
      <c r="D34" s="132">
        <f>VLOOKUP(C34,'Past True Up FY21 FY22'!$P$10:$Y$23,10,0)</f>
        <v>8</v>
      </c>
      <c r="E34" s="132">
        <f>VLOOKUP(C34,'Past True Up FY21 FY22'!$AG$10:$AP$23,10,0)</f>
        <v>2.5299999999999998</v>
      </c>
      <c r="F34" s="138">
        <f t="shared" si="9"/>
        <v>3.657182981664714E-4</v>
      </c>
      <c r="G34" s="132">
        <f>VLOOKUP(C34,'Past True Up FY21 FY22'!$C$31:$E$44,3,0)</f>
        <v>2.52</v>
      </c>
      <c r="H34" s="132">
        <f>VLOOKUP(C34,'Past True Up FY21 FY22'!$AG$10:$AQ$24,11,0)</f>
        <v>3.5802600437454259</v>
      </c>
      <c r="I34" s="191">
        <f t="shared" si="10"/>
        <v>1.529432258068281E-4</v>
      </c>
      <c r="J34" s="132">
        <f t="shared" si="11"/>
        <v>1.0566296875380849</v>
      </c>
      <c r="K34" s="132">
        <v>0</v>
      </c>
      <c r="L34" s="132">
        <f t="shared" si="12"/>
        <v>3.5802600437454259</v>
      </c>
      <c r="M34" s="138">
        <f t="shared" si="13"/>
        <v>1.5754760885986876E-4</v>
      </c>
      <c r="N34" s="132">
        <f t="shared" si="14"/>
        <v>1.0884397124736438</v>
      </c>
      <c r="O34" s="132">
        <f t="shared" si="15"/>
        <v>3.1810024935558845E-2</v>
      </c>
    </row>
    <row r="35" spans="2:15" ht="13.9">
      <c r="B35" s="68">
        <v>8</v>
      </c>
      <c r="C35" s="78" t="s">
        <v>103</v>
      </c>
      <c r="D35" s="132">
        <f>VLOOKUP(C35,'Past True Up FY21 FY22'!$P$10:$Y$23,10,0)</f>
        <v>5</v>
      </c>
      <c r="E35" s="132">
        <f>VLOOKUP(C35,'Past True Up FY21 FY22'!$AG$10:$AP$23,10,0)</f>
        <v>1.58</v>
      </c>
      <c r="F35" s="138">
        <f t="shared" si="9"/>
        <v>2.2857393635404463E-4</v>
      </c>
      <c r="G35" s="132">
        <f>VLOOKUP(C35,'Past True Up FY21 FY22'!$C$31:$E$44,3,0)</f>
        <v>1.56</v>
      </c>
      <c r="H35" s="132">
        <f>VLOOKUP(C35,'Past True Up FY21 FY22'!$AG$10:$AQ$24,11,0)</f>
        <v>2.5976908170287145</v>
      </c>
      <c r="I35" s="191">
        <f t="shared" si="10"/>
        <v>1.1096937327198136E-4</v>
      </c>
      <c r="J35" s="132">
        <f t="shared" si="11"/>
        <v>0.76664745096174136</v>
      </c>
      <c r="K35" s="132">
        <v>0</v>
      </c>
      <c r="L35" s="132">
        <f t="shared" si="12"/>
        <v>2.5976908170287145</v>
      </c>
      <c r="M35" s="138">
        <f t="shared" si="13"/>
        <v>1.1431012601865999E-4</v>
      </c>
      <c r="N35" s="132">
        <f t="shared" si="14"/>
        <v>0.78972750901755517</v>
      </c>
      <c r="O35" s="132">
        <f t="shared" si="15"/>
        <v>2.3080058055813812E-2</v>
      </c>
    </row>
    <row r="36" spans="2:15" ht="13.9">
      <c r="B36" s="68">
        <v>9</v>
      </c>
      <c r="C36" s="78" t="s">
        <v>104</v>
      </c>
      <c r="D36" s="132">
        <f>VLOOKUP(C36,'Past True Up FY21 FY22'!$P$10:$Y$23,10,0)</f>
        <v>0.53</v>
      </c>
      <c r="E36" s="132">
        <f>VLOOKUP(C36,'Past True Up FY21 FY22'!$AG$10:$AP$23,10,0)</f>
        <v>0.17</v>
      </c>
      <c r="F36" s="138">
        <f t="shared" si="9"/>
        <v>2.422883725352873E-5</v>
      </c>
      <c r="G36" s="132">
        <f>VLOOKUP(C36,'Past True Up FY21 FY22'!$C$31:$E$44,3,0)</f>
        <v>0.12</v>
      </c>
      <c r="H36" s="132">
        <f>VLOOKUP(C36,'Past True Up FY21 FY22'!$AG$10:$AQ$24,11,0)</f>
        <v>2.2984357569656573</v>
      </c>
      <c r="I36" s="191">
        <f t="shared" si="10"/>
        <v>9.8185655423045558E-5</v>
      </c>
      <c r="J36" s="132">
        <f t="shared" si="11"/>
        <v>0.67832934648186949</v>
      </c>
      <c r="K36" s="132">
        <v>0</v>
      </c>
      <c r="L36" s="132">
        <f t="shared" si="12"/>
        <v>2.2984357569656573</v>
      </c>
      <c r="M36" s="138">
        <f t="shared" si="13"/>
        <v>1.0114155206702347E-4</v>
      </c>
      <c r="N36" s="132">
        <f t="shared" si="14"/>
        <v>0.69875057227232107</v>
      </c>
      <c r="O36" s="132">
        <f t="shared" si="15"/>
        <v>2.042122579045158E-2</v>
      </c>
    </row>
    <row r="37" spans="2:15" ht="13.9">
      <c r="B37" s="68">
        <v>10</v>
      </c>
      <c r="C37" s="78" t="s">
        <v>105</v>
      </c>
      <c r="D37" s="132">
        <f>VLOOKUP(C37,'Past True Up FY21 FY22'!$P$10:$Y$23,10,0)</f>
        <v>12</v>
      </c>
      <c r="E37" s="132">
        <f>VLOOKUP(C37,'Past True Up FY21 FY22'!$AG$10:$AP$23,10,0)</f>
        <v>3.79</v>
      </c>
      <c r="F37" s="138">
        <f t="shared" si="9"/>
        <v>5.4857744724970707E-4</v>
      </c>
      <c r="G37" s="132">
        <f>VLOOKUP(C37,'Past True Up FY21 FY22'!$C$31:$E$44,3,0)</f>
        <v>3.84</v>
      </c>
      <c r="H37" s="132">
        <f>VLOOKUP(C37,'Past True Up FY21 FY22'!$AG$10:$AQ$24,11,0)</f>
        <v>11.063210375000002</v>
      </c>
      <c r="I37" s="191">
        <f t="shared" si="10"/>
        <v>4.7260340362371213E-4</v>
      </c>
      <c r="J37" s="132">
        <f t="shared" si="11"/>
        <v>3.2650467784109227</v>
      </c>
      <c r="K37" s="132">
        <v>0</v>
      </c>
      <c r="L37" s="132">
        <f t="shared" si="12"/>
        <v>11.063210375000002</v>
      </c>
      <c r="M37" s="138">
        <f t="shared" si="13"/>
        <v>4.8683121326336732E-4</v>
      </c>
      <c r="N37" s="132">
        <f t="shared" si="14"/>
        <v>3.3633415931998303</v>
      </c>
      <c r="O37" s="132">
        <f t="shared" si="15"/>
        <v>9.8294814788907559E-2</v>
      </c>
    </row>
    <row r="38" spans="2:15" ht="13.9">
      <c r="B38" s="68">
        <v>11</v>
      </c>
      <c r="C38" s="78" t="s">
        <v>106</v>
      </c>
      <c r="D38" s="132">
        <f>VLOOKUP(C38,'Past True Up FY21 FY22'!$P$10:$Y$23,10,0)</f>
        <v>0</v>
      </c>
      <c r="E38" s="132">
        <f>VLOOKUP(C38,'Past True Up FY21 FY22'!$AG$10:$AP$23,10,0)</f>
        <v>0</v>
      </c>
      <c r="F38" s="138">
        <f t="shared" si="9"/>
        <v>0</v>
      </c>
      <c r="G38" s="132">
        <f>VLOOKUP(C38,'Past True Up FY21 FY22'!$C$31:$E$44,3,0)</f>
        <v>0</v>
      </c>
      <c r="H38" s="132">
        <v>0</v>
      </c>
      <c r="I38" s="191">
        <f t="shared" si="10"/>
        <v>0</v>
      </c>
      <c r="J38" s="132">
        <f t="shared" si="11"/>
        <v>0</v>
      </c>
      <c r="K38" s="132">
        <v>0</v>
      </c>
      <c r="L38" s="132">
        <f t="shared" si="12"/>
        <v>0</v>
      </c>
      <c r="M38" s="138">
        <f t="shared" si="13"/>
        <v>0</v>
      </c>
      <c r="N38" s="132">
        <f t="shared" si="14"/>
        <v>0</v>
      </c>
      <c r="O38" s="132">
        <f t="shared" si="15"/>
        <v>0</v>
      </c>
    </row>
    <row r="39" spans="2:15" ht="13.9">
      <c r="B39" s="68">
        <v>12</v>
      </c>
      <c r="C39" s="78" t="s">
        <v>107</v>
      </c>
      <c r="D39" s="132">
        <f>VLOOKUP(C39,'Past True Up FY21 FY22'!$P$10:$Y$23,10,0)</f>
        <v>0</v>
      </c>
      <c r="E39" s="132">
        <f>VLOOKUP(C39,'Past True Up FY21 FY22'!$AG$10:$AP$23,10,0)</f>
        <v>0</v>
      </c>
      <c r="F39" s="138">
        <f t="shared" si="9"/>
        <v>0</v>
      </c>
      <c r="G39" s="132">
        <f>VLOOKUP(C39,'Past True Up FY21 FY22'!$C$31:$E$44,3,0)</f>
        <v>0</v>
      </c>
      <c r="H39" s="132">
        <v>0</v>
      </c>
      <c r="I39" s="191">
        <f t="shared" si="10"/>
        <v>0</v>
      </c>
      <c r="J39" s="132">
        <f t="shared" si="11"/>
        <v>0</v>
      </c>
      <c r="K39" s="132">
        <v>0</v>
      </c>
      <c r="L39" s="132">
        <f t="shared" si="12"/>
        <v>0</v>
      </c>
      <c r="M39" s="138">
        <f t="shared" si="13"/>
        <v>0</v>
      </c>
      <c r="N39" s="132">
        <f t="shared" si="14"/>
        <v>0</v>
      </c>
      <c r="O39" s="132">
        <f t="shared" si="15"/>
        <v>0</v>
      </c>
    </row>
    <row r="40" spans="2:15" ht="13.9">
      <c r="B40" s="68">
        <v>13</v>
      </c>
      <c r="C40" s="78" t="s">
        <v>108</v>
      </c>
      <c r="D40" s="132">
        <f>VLOOKUP(C40,'Past True Up FY21 FY22'!$P$10:$Y$23,10,0)</f>
        <v>0</v>
      </c>
      <c r="E40" s="132">
        <f>VLOOKUP(C40,'Past True Up FY21 FY22'!$AG$10:$AP$23,10,0)</f>
        <v>0</v>
      </c>
      <c r="F40" s="138">
        <f t="shared" si="9"/>
        <v>0</v>
      </c>
      <c r="G40" s="132">
        <f>VLOOKUP(C40,'Past True Up FY21 FY22'!$C$31:$E$44,3,0)</f>
        <v>0</v>
      </c>
      <c r="H40" s="132">
        <v>0</v>
      </c>
      <c r="I40" s="191">
        <f t="shared" si="10"/>
        <v>0</v>
      </c>
      <c r="J40" s="132">
        <f t="shared" si="11"/>
        <v>0</v>
      </c>
      <c r="K40" s="132">
        <v>0</v>
      </c>
      <c r="L40" s="132">
        <f t="shared" si="12"/>
        <v>0</v>
      </c>
      <c r="M40" s="138">
        <f t="shared" si="13"/>
        <v>0</v>
      </c>
      <c r="N40" s="132">
        <f t="shared" si="14"/>
        <v>0</v>
      </c>
      <c r="O40" s="132">
        <f t="shared" si="15"/>
        <v>0</v>
      </c>
    </row>
    <row r="41" spans="2:15" ht="13.9">
      <c r="B41" s="68">
        <v>14</v>
      </c>
      <c r="C41" s="78" t="s">
        <v>109</v>
      </c>
      <c r="D41" s="132">
        <f>VLOOKUP(C41,'Past True Up FY21 FY22'!$P$10:$Y$23,10,0)</f>
        <v>0</v>
      </c>
      <c r="E41" s="132">
        <f>VLOOKUP(C41,'Past True Up FY21 FY22'!$AG$10:$AP$23,10,0)</f>
        <v>0</v>
      </c>
      <c r="F41" s="138">
        <f t="shared" si="9"/>
        <v>0</v>
      </c>
      <c r="G41" s="132">
        <f>VLOOKUP(C41,'Past True Up FY21 FY22'!$C$31:$E$44,3,0)</f>
        <v>0</v>
      </c>
      <c r="H41" s="132">
        <v>0</v>
      </c>
      <c r="I41" s="191">
        <f t="shared" si="10"/>
        <v>0</v>
      </c>
      <c r="J41" s="132">
        <f t="shared" si="11"/>
        <v>0</v>
      </c>
      <c r="K41" s="132">
        <v>0</v>
      </c>
      <c r="L41" s="132">
        <f t="shared" si="12"/>
        <v>0</v>
      </c>
      <c r="M41" s="138">
        <f t="shared" si="13"/>
        <v>0</v>
      </c>
      <c r="N41" s="132">
        <f t="shared" si="14"/>
        <v>0</v>
      </c>
      <c r="O41" s="132">
        <f t="shared" si="15"/>
        <v>0</v>
      </c>
    </row>
    <row r="42" spans="2:15" ht="13.9">
      <c r="B42" s="137"/>
      <c r="C42" s="79" t="s">
        <v>191</v>
      </c>
      <c r="D42" s="139">
        <f>SUM(D28:D41)</f>
        <v>21874.759999999995</v>
      </c>
      <c r="E42" s="139">
        <f t="shared" ref="E42:N42" si="16">SUM(E28:E41)</f>
        <v>6908.0599999999995</v>
      </c>
      <c r="F42" s="222">
        <f t="shared" si="16"/>
        <v>1</v>
      </c>
      <c r="G42" s="139">
        <f t="shared" si="16"/>
        <v>6908.64</v>
      </c>
      <c r="H42" s="139">
        <f t="shared" si="16"/>
        <v>23409.078923622299</v>
      </c>
      <c r="I42" s="222">
        <f t="shared" si="16"/>
        <v>1</v>
      </c>
      <c r="J42" s="139">
        <v>6908.64</v>
      </c>
      <c r="K42" s="139">
        <f t="shared" si="16"/>
        <v>684.13838244341002</v>
      </c>
      <c r="L42" s="139">
        <f t="shared" si="16"/>
        <v>22724.94054117889</v>
      </c>
      <c r="M42" s="222">
        <f t="shared" si="16"/>
        <v>0.99999999999999978</v>
      </c>
      <c r="N42" s="139">
        <f t="shared" si="16"/>
        <v>6908.6399999999994</v>
      </c>
      <c r="O42" s="139">
        <f t="shared" ref="O42" si="17">SUM(O28:O41)</f>
        <v>-7.8292927696566039E-13</v>
      </c>
    </row>
    <row r="45" spans="2:15" ht="13.9">
      <c r="B45" s="411" t="s">
        <v>2</v>
      </c>
      <c r="C45" s="411" t="s">
        <v>82</v>
      </c>
      <c r="D45" s="430" t="s">
        <v>51</v>
      </c>
      <c r="E45" s="431"/>
      <c r="F45" s="431"/>
      <c r="G45" s="431"/>
      <c r="H45" s="431"/>
      <c r="I45" s="431"/>
      <c r="J45" s="431"/>
      <c r="K45" s="431"/>
      <c r="L45" s="431"/>
      <c r="M45" s="431"/>
      <c r="N45" s="431"/>
      <c r="O45" s="432"/>
    </row>
    <row r="46" spans="2:15" ht="13.9">
      <c r="B46" s="411"/>
      <c r="C46" s="411"/>
      <c r="D46" s="411" t="s">
        <v>257</v>
      </c>
      <c r="E46" s="411"/>
      <c r="F46" s="411"/>
      <c r="G46" s="411" t="s">
        <v>56</v>
      </c>
      <c r="H46" s="411"/>
      <c r="I46" s="411"/>
      <c r="J46" s="411"/>
      <c r="K46" s="430" t="s">
        <v>258</v>
      </c>
      <c r="L46" s="431"/>
      <c r="M46" s="431"/>
      <c r="N46" s="431"/>
      <c r="O46" s="432"/>
    </row>
    <row r="47" spans="2:15" ht="41.45">
      <c r="B47" s="411"/>
      <c r="C47" s="411"/>
      <c r="D47" s="50" t="s">
        <v>163</v>
      </c>
      <c r="E47" s="50" t="s">
        <v>259</v>
      </c>
      <c r="F47" s="50" t="s">
        <v>189</v>
      </c>
      <c r="G47" s="50" t="s">
        <v>260</v>
      </c>
      <c r="H47" s="50" t="s">
        <v>261</v>
      </c>
      <c r="I47" s="50" t="s">
        <v>249</v>
      </c>
      <c r="J47" s="50" t="s">
        <v>250</v>
      </c>
      <c r="K47" s="50" t="s">
        <v>262</v>
      </c>
      <c r="L47" s="50" t="s">
        <v>263</v>
      </c>
      <c r="M47" s="50" t="s">
        <v>264</v>
      </c>
      <c r="N47" s="50" t="s">
        <v>265</v>
      </c>
      <c r="O47" s="50" t="s">
        <v>266</v>
      </c>
    </row>
    <row r="48" spans="2:15" ht="13.9">
      <c r="B48" s="414"/>
      <c r="C48" s="414"/>
      <c r="D48" s="50"/>
      <c r="E48" s="50"/>
      <c r="F48" s="50"/>
      <c r="G48" s="50"/>
      <c r="H48" s="50" t="s">
        <v>201</v>
      </c>
      <c r="I48" s="50"/>
      <c r="J48" s="50" t="s">
        <v>204</v>
      </c>
      <c r="K48" s="50" t="s">
        <v>202</v>
      </c>
      <c r="L48" s="50" t="s">
        <v>267</v>
      </c>
      <c r="M48" s="50"/>
      <c r="N48" s="50" t="s">
        <v>205</v>
      </c>
      <c r="O48" s="50" t="s">
        <v>268</v>
      </c>
    </row>
    <row r="49" spans="2:15" ht="13.9">
      <c r="B49" s="68">
        <v>1</v>
      </c>
      <c r="C49" s="78" t="s">
        <v>96</v>
      </c>
      <c r="D49" s="132">
        <f>VLOOKUP(C49,'Past True Up FY21 FY22'!$P$30:$Q$48,2,0)</f>
        <v>18858.34</v>
      </c>
      <c r="E49" s="132">
        <f>'True Up FY23 FY24'!D8</f>
        <v>5885.89</v>
      </c>
      <c r="F49" s="138">
        <f>D49/$D$63</f>
        <v>0.83855915208248666</v>
      </c>
      <c r="G49" s="132">
        <f>'True Up FY23 FY24'!F8</f>
        <v>5885.89</v>
      </c>
      <c r="H49" s="132">
        <f>'True Up FY23 FY24'!G8</f>
        <v>21657.67853029129</v>
      </c>
      <c r="I49" s="219">
        <f>'True Up FY23 FY24'!H8</f>
        <v>0.85655486389461799</v>
      </c>
      <c r="J49" s="132">
        <f>'True Up FY23 FY24'!I8</f>
        <v>6011.7124670373078</v>
      </c>
      <c r="K49" s="132">
        <f>'POA Data'!R9</f>
        <v>781.11981274428229</v>
      </c>
      <c r="L49" s="132">
        <f t="shared" ref="L49:L62" si="18">H49-K49</f>
        <v>20876.558717547006</v>
      </c>
      <c r="M49" s="138">
        <f>L49/$L$63</f>
        <v>0.85198213915230869</v>
      </c>
      <c r="N49" s="132">
        <f>M49*$J$63</f>
        <v>5979.6188937001853</v>
      </c>
      <c r="O49" s="132">
        <f>N49-J49</f>
        <v>-32.093573337122507</v>
      </c>
    </row>
    <row r="50" spans="2:15" ht="13.9">
      <c r="B50" s="68">
        <v>2</v>
      </c>
      <c r="C50" s="78" t="s">
        <v>97</v>
      </c>
      <c r="D50" s="132">
        <f>VLOOKUP(C50,'Past True Up FY21 FY22'!$P$30:$Q$48,2,0)</f>
        <v>830.26</v>
      </c>
      <c r="E50" s="132">
        <f>'True Up FY23 FY24'!D9</f>
        <v>259.10583370000001</v>
      </c>
      <c r="F50" s="138">
        <f t="shared" ref="F50:F62" si="19">D50/$D$63</f>
        <v>3.6918526318223413E-2</v>
      </c>
      <c r="G50" s="132">
        <f>'True Up FY23 FY24'!F9</f>
        <v>259.10583370000001</v>
      </c>
      <c r="H50" s="132">
        <f>'True Up FY23 FY24'!G9</f>
        <v>840.76851174359581</v>
      </c>
      <c r="I50" s="219">
        <f>'True Up FY23 FY24'!H9</f>
        <v>3.3252149215169377E-2</v>
      </c>
      <c r="J50" s="132">
        <f>'True Up FY23 FY24'!I9</f>
        <v>233.37951650136515</v>
      </c>
      <c r="K50" s="132">
        <v>0</v>
      </c>
      <c r="L50" s="132">
        <f t="shared" si="18"/>
        <v>840.76851174359581</v>
      </c>
      <c r="M50" s="138">
        <f t="shared" ref="M50:M62" si="20">L50/$L$63</f>
        <v>3.4312156752402692E-2</v>
      </c>
      <c r="N50" s="132">
        <f t="shared" ref="N50:N62" si="21">M50*$J$63</f>
        <v>240.81915731755811</v>
      </c>
      <c r="O50" s="132">
        <f t="shared" ref="O50:O62" si="22">N50-J50</f>
        <v>7.4396408161929628</v>
      </c>
    </row>
    <row r="51" spans="2:15" ht="13.9">
      <c r="B51" s="68">
        <v>3</v>
      </c>
      <c r="C51" s="78" t="s">
        <v>98</v>
      </c>
      <c r="D51" s="132">
        <f>VLOOKUP(C51,'Past True Up FY21 FY22'!$P$30:$Q$48,2,0)</f>
        <v>1544.7</v>
      </c>
      <c r="E51" s="132">
        <f>'True Up FY23 FY24'!D10</f>
        <v>481.76333369999998</v>
      </c>
      <c r="F51" s="138">
        <f t="shared" si="19"/>
        <v>6.8686974687157898E-2</v>
      </c>
      <c r="G51" s="132">
        <f>'True Up FY23 FY24'!F10</f>
        <v>481.76333369999998</v>
      </c>
      <c r="H51" s="132">
        <f>'True Up FY23 FY24'!G10</f>
        <v>1520.3184966791343</v>
      </c>
      <c r="I51" s="219">
        <f>'True Up FY23 FY24'!H10</f>
        <v>6.0128152755527638E-2</v>
      </c>
      <c r="J51" s="132">
        <f>'True Up FY23 FY24'!I10</f>
        <v>422.00818742277465</v>
      </c>
      <c r="K51" s="132">
        <v>0</v>
      </c>
      <c r="L51" s="132">
        <f t="shared" si="18"/>
        <v>1520.3184966791343</v>
      </c>
      <c r="M51" s="138">
        <f t="shared" si="20"/>
        <v>6.2044909916345967E-2</v>
      </c>
      <c r="N51" s="132">
        <f t="shared" si="21"/>
        <v>435.46090762283438</v>
      </c>
      <c r="O51" s="132">
        <f t="shared" si="22"/>
        <v>13.45272020005973</v>
      </c>
    </row>
    <row r="52" spans="2:15" ht="13.9">
      <c r="B52" s="68">
        <v>4</v>
      </c>
      <c r="C52" s="78" t="s">
        <v>99</v>
      </c>
      <c r="D52" s="132">
        <f>VLOOKUP(C52,'Past True Up FY21 FY22'!$P$30:$Q$48,2,0)</f>
        <v>822.52</v>
      </c>
      <c r="E52" s="132">
        <f>'True Up FY23 FY24'!D11</f>
        <v>256.8266663</v>
      </c>
      <c r="F52" s="138">
        <f t="shared" si="19"/>
        <v>3.6574357752107919E-2</v>
      </c>
      <c r="G52" s="132">
        <f>'True Up FY23 FY24'!F11</f>
        <v>256.8266663</v>
      </c>
      <c r="H52" s="132">
        <f>'True Up FY23 FY24'!G11</f>
        <v>766.74492025824748</v>
      </c>
      <c r="I52" s="219">
        <f>'True Up FY23 FY24'!H11</f>
        <v>3.0324537779758964E-2</v>
      </c>
      <c r="J52" s="132">
        <f>'True Up FY23 FY24'!I11</f>
        <v>212.83213663491554</v>
      </c>
      <c r="K52" s="132">
        <v>0</v>
      </c>
      <c r="L52" s="132">
        <f t="shared" si="18"/>
        <v>766.74492025824748</v>
      </c>
      <c r="M52" s="138">
        <f t="shared" si="20"/>
        <v>3.1291219313685108E-2</v>
      </c>
      <c r="N52" s="132">
        <f t="shared" si="21"/>
        <v>219.61677084122309</v>
      </c>
      <c r="O52" s="132">
        <f t="shared" si="22"/>
        <v>6.784634206307544</v>
      </c>
    </row>
    <row r="53" spans="2:15" ht="13.9">
      <c r="B53" s="68">
        <v>5</v>
      </c>
      <c r="C53" s="78" t="s">
        <v>100</v>
      </c>
      <c r="D53" s="132">
        <f>VLOOKUP(C53,'Past True Up FY21 FY22'!$P$30:$Q$48,2,0)</f>
        <v>387.97</v>
      </c>
      <c r="E53" s="132">
        <f>'True Up FY23 FY24'!D12</f>
        <v>120.8691663</v>
      </c>
      <c r="F53" s="138">
        <f t="shared" si="19"/>
        <v>1.725156054209662E-2</v>
      </c>
      <c r="G53" s="132">
        <f>'True Up FY23 FY24'!F12</f>
        <v>120.8691663</v>
      </c>
      <c r="H53" s="132">
        <f>'True Up FY23 FY24'!G12</f>
        <v>465.27687453063868</v>
      </c>
      <c r="I53" s="219">
        <f>'True Up FY23 FY24'!H12</f>
        <v>1.8401564571174943E-2</v>
      </c>
      <c r="J53" s="132">
        <f>'True Up FY23 FY24'!I12</f>
        <v>129.15099757011552</v>
      </c>
      <c r="K53" s="132">
        <v>0</v>
      </c>
      <c r="L53" s="132">
        <f t="shared" si="18"/>
        <v>465.27687453063868</v>
      </c>
      <c r="M53" s="138">
        <f t="shared" si="20"/>
        <v>1.8988167169885543E-2</v>
      </c>
      <c r="N53" s="132">
        <f t="shared" si="21"/>
        <v>133.2680556880633</v>
      </c>
      <c r="O53" s="132">
        <f t="shared" si="22"/>
        <v>4.1170581179477779</v>
      </c>
    </row>
    <row r="54" spans="2:15" ht="13.9">
      <c r="B54" s="68">
        <v>6</v>
      </c>
      <c r="C54" s="78" t="s">
        <v>101</v>
      </c>
      <c r="D54" s="132">
        <f>VLOOKUP(C54,'Past True Up FY21 FY22'!$P$30:$Q$48,2,0)</f>
        <v>15.8</v>
      </c>
      <c r="E54" s="132">
        <f>'True Up FY23 FY24'!D13</f>
        <v>4.9391663000000001</v>
      </c>
      <c r="F54" s="138">
        <f t="shared" si="19"/>
        <v>7.0256632359493411E-4</v>
      </c>
      <c r="G54" s="132">
        <f>'True Up FY23 FY24'!F13</f>
        <v>4.9391663000000001</v>
      </c>
      <c r="H54" s="132">
        <f>'True Up FY23 FY24'!G13</f>
        <v>8.8263642335825754</v>
      </c>
      <c r="I54" s="219">
        <f>'True Up FY23 FY24'!H13</f>
        <v>3.4908012898088591E-4</v>
      </c>
      <c r="J54" s="132">
        <f>'True Up FY23 FY24'!I13</f>
        <v>2.4500116126216644</v>
      </c>
      <c r="K54" s="132">
        <v>0</v>
      </c>
      <c r="L54" s="132">
        <f t="shared" si="18"/>
        <v>8.8263642335825754</v>
      </c>
      <c r="M54" s="138">
        <f t="shared" si="20"/>
        <v>3.6020805834941259E-4</v>
      </c>
      <c r="N54" s="132">
        <f t="shared" si="21"/>
        <v>2.5281127530587266</v>
      </c>
      <c r="O54" s="132">
        <f t="shared" si="22"/>
        <v>7.8101140437062178E-2</v>
      </c>
    </row>
    <row r="55" spans="2:15" ht="13.9">
      <c r="B55" s="68">
        <v>7</v>
      </c>
      <c r="C55" s="78" t="s">
        <v>102</v>
      </c>
      <c r="D55" s="132">
        <f>VLOOKUP(C55,'Past True Up FY21 FY22'!$P$30:$Q$48,2,0)</f>
        <v>8</v>
      </c>
      <c r="E55" s="132">
        <f>'True Up FY23 FY24'!D14</f>
        <v>2.5016663000000001</v>
      </c>
      <c r="F55" s="138">
        <f t="shared" si="19"/>
        <v>3.5572978409870079E-4</v>
      </c>
      <c r="G55" s="132">
        <f>'True Up FY23 FY24'!F14</f>
        <v>2.5016663000000001</v>
      </c>
      <c r="H55" s="132">
        <f>'True Up FY23 FY24'!G14</f>
        <v>4.9591404052703156</v>
      </c>
      <c r="I55" s="219">
        <f>'True Up FY23 FY24'!H14</f>
        <v>1.9613255543199183E-4</v>
      </c>
      <c r="J55" s="132">
        <f>'True Up FY23 FY24'!I14</f>
        <v>1.3765522541326145</v>
      </c>
      <c r="K55" s="132">
        <v>0</v>
      </c>
      <c r="L55" s="132">
        <f t="shared" si="18"/>
        <v>4.9591404052703156</v>
      </c>
      <c r="M55" s="138">
        <f t="shared" si="20"/>
        <v>2.0238484263632983E-4</v>
      </c>
      <c r="N55" s="132">
        <f t="shared" si="21"/>
        <v>1.4204338016179847</v>
      </c>
      <c r="O55" s="132">
        <f t="shared" si="22"/>
        <v>4.3881547485370209E-2</v>
      </c>
    </row>
    <row r="56" spans="2:15" ht="13.9">
      <c r="B56" s="68">
        <v>8</v>
      </c>
      <c r="C56" s="78" t="s">
        <v>103</v>
      </c>
      <c r="D56" s="132">
        <f>VLOOKUP(C56,'Past True Up FY21 FY22'!$P$30:$Q$48,2,0)</f>
        <v>8.5</v>
      </c>
      <c r="E56" s="132">
        <f>'True Up FY23 FY24'!D15</f>
        <v>2.5591662999999998</v>
      </c>
      <c r="F56" s="138">
        <f t="shared" si="19"/>
        <v>3.7796289560486959E-4</v>
      </c>
      <c r="G56" s="132">
        <f>'True Up FY23 FY24'!F15</f>
        <v>2.5591662999999998</v>
      </c>
      <c r="H56" s="132">
        <f>'True Up FY23 FY24'!G15</f>
        <v>4.2261638574231251</v>
      </c>
      <c r="I56" s="219">
        <f>'True Up FY23 FY24'!H15</f>
        <v>1.6714354692394314E-4</v>
      </c>
      <c r="J56" s="132">
        <f>'True Up FY23 FY24'!I15</f>
        <v>1.1730935018671813</v>
      </c>
      <c r="K56" s="132">
        <v>0</v>
      </c>
      <c r="L56" s="132">
        <f t="shared" si="18"/>
        <v>4.2261638574231251</v>
      </c>
      <c r="M56" s="138">
        <f t="shared" si="20"/>
        <v>1.7247172641672806E-4</v>
      </c>
      <c r="N56" s="132">
        <f t="shared" si="21"/>
        <v>1.210489218631599</v>
      </c>
      <c r="O56" s="132">
        <f t="shared" si="22"/>
        <v>3.7395716764417664E-2</v>
      </c>
    </row>
    <row r="57" spans="2:15" ht="13.9">
      <c r="B57" s="68">
        <v>9</v>
      </c>
      <c r="C57" s="78" t="s">
        <v>104</v>
      </c>
      <c r="D57" s="132">
        <f>VLOOKUP(C57,'Past True Up FY21 FY22'!$P$30:$Q$48,2,0)</f>
        <v>0.53</v>
      </c>
      <c r="E57" s="132">
        <f>'True Up FY23 FY24'!D16</f>
        <v>0.1658337</v>
      </c>
      <c r="F57" s="138">
        <f t="shared" si="19"/>
        <v>2.356709819653893E-5</v>
      </c>
      <c r="G57" s="132">
        <f>'True Up FY23 FY24'!F16</f>
        <v>0.1658337</v>
      </c>
      <c r="H57" s="132">
        <f>'True Up FY23 FY24'!G16</f>
        <v>3.3330259296032971</v>
      </c>
      <c r="I57" s="219">
        <f>'True Up FY23 FY24'!H16</f>
        <v>1.3182020258983808E-4</v>
      </c>
      <c r="J57" s="132">
        <f>'True Up FY23 FY24'!I16</f>
        <v>0.92517734557422382</v>
      </c>
      <c r="K57" s="132">
        <v>0</v>
      </c>
      <c r="L57" s="132">
        <f t="shared" si="18"/>
        <v>3.3330259296032971</v>
      </c>
      <c r="M57" s="138">
        <f t="shared" si="20"/>
        <v>1.3602234926615297E-4</v>
      </c>
      <c r="N57" s="132">
        <f t="shared" si="21"/>
        <v>0.9546700244756765</v>
      </c>
      <c r="O57" s="132">
        <f t="shared" si="22"/>
        <v>2.9492678901452685E-2</v>
      </c>
    </row>
    <row r="58" spans="2:15" ht="13.9">
      <c r="B58" s="68">
        <v>10</v>
      </c>
      <c r="C58" s="78" t="s">
        <v>105</v>
      </c>
      <c r="D58" s="132">
        <f>VLOOKUP(C58,'Past True Up FY21 FY22'!$P$30:$Q$48,2,0)</f>
        <v>12.36</v>
      </c>
      <c r="E58" s="132">
        <f>'True Up FY23 FY24'!D17</f>
        <v>3.8583337000000002</v>
      </c>
      <c r="F58" s="138">
        <f t="shared" si="19"/>
        <v>5.4960251643249274E-4</v>
      </c>
      <c r="G58" s="132">
        <f>'True Up FY23 FY24'!F17</f>
        <v>3.8583337000000002</v>
      </c>
      <c r="H58" s="132">
        <f>'True Up FY23 FY24'!G17</f>
        <v>12.504652338592978</v>
      </c>
      <c r="I58" s="219">
        <f>'True Up FY23 FY24'!H17</f>
        <v>4.9455534982441925E-4</v>
      </c>
      <c r="J58" s="132">
        <f>'True Up FY23 FY24'!I17</f>
        <v>3.4710264193248945</v>
      </c>
      <c r="K58" s="132">
        <v>0</v>
      </c>
      <c r="L58" s="132">
        <f t="shared" si="18"/>
        <v>12.504652338592978</v>
      </c>
      <c r="M58" s="138">
        <f t="shared" si="20"/>
        <v>5.1032071870330637E-4</v>
      </c>
      <c r="N58" s="132">
        <f t="shared" si="21"/>
        <v>3.581675332350398</v>
      </c>
      <c r="O58" s="132">
        <f t="shared" si="22"/>
        <v>0.1106489130255035</v>
      </c>
    </row>
    <row r="59" spans="2:15" ht="13.9">
      <c r="B59" s="68">
        <v>11</v>
      </c>
      <c r="C59" s="78" t="s">
        <v>106</v>
      </c>
      <c r="D59" s="132">
        <f>VLOOKUP(C59,'Past True Up FY21 FY22'!$P$30:$Q$48,2,0)</f>
        <v>0</v>
      </c>
      <c r="E59" s="132">
        <f>'True Up FY23 FY24'!D18</f>
        <v>0</v>
      </c>
      <c r="F59" s="138">
        <f t="shared" si="19"/>
        <v>0</v>
      </c>
      <c r="G59" s="132">
        <f>'True Up FY23 FY24'!F18</f>
        <v>0</v>
      </c>
      <c r="H59" s="132">
        <f>'True Up FY23 FY24'!G18</f>
        <v>0</v>
      </c>
      <c r="I59" s="219">
        <f>'True Up FY23 FY24'!H18</f>
        <v>0</v>
      </c>
      <c r="J59" s="132">
        <f>'True Up FY23 FY24'!I18</f>
        <v>0</v>
      </c>
      <c r="K59" s="132">
        <v>0</v>
      </c>
      <c r="L59" s="132">
        <f t="shared" si="18"/>
        <v>0</v>
      </c>
      <c r="M59" s="138">
        <f t="shared" si="20"/>
        <v>0</v>
      </c>
      <c r="N59" s="132">
        <f t="shared" si="21"/>
        <v>0</v>
      </c>
      <c r="O59" s="132">
        <f t="shared" si="22"/>
        <v>0</v>
      </c>
    </row>
    <row r="60" spans="2:15" ht="13.9">
      <c r="B60" s="68">
        <v>12</v>
      </c>
      <c r="C60" s="78" t="s">
        <v>107</v>
      </c>
      <c r="D60" s="132">
        <f>VLOOKUP(C60,'Past True Up FY21 FY22'!$P$30:$Q$48,2,0)</f>
        <v>0</v>
      </c>
      <c r="E60" s="132">
        <f>'True Up FY23 FY24'!D19</f>
        <v>0</v>
      </c>
      <c r="F60" s="138">
        <f t="shared" si="19"/>
        <v>0</v>
      </c>
      <c r="G60" s="132">
        <f>'True Up FY23 FY24'!F19</f>
        <v>0</v>
      </c>
      <c r="H60" s="132">
        <f>'True Up FY23 FY24'!G19</f>
        <v>0</v>
      </c>
      <c r="I60" s="219">
        <f>'True Up FY23 FY24'!H19</f>
        <v>0</v>
      </c>
      <c r="J60" s="132">
        <f>'True Up FY23 FY24'!I19</f>
        <v>0</v>
      </c>
      <c r="K60" s="132">
        <v>0</v>
      </c>
      <c r="L60" s="132">
        <f t="shared" si="18"/>
        <v>0</v>
      </c>
      <c r="M60" s="138">
        <f t="shared" si="20"/>
        <v>0</v>
      </c>
      <c r="N60" s="132">
        <f t="shared" si="21"/>
        <v>0</v>
      </c>
      <c r="O60" s="132">
        <f t="shared" si="22"/>
        <v>0</v>
      </c>
    </row>
    <row r="61" spans="2:15" ht="13.9">
      <c r="B61" s="68">
        <v>13</v>
      </c>
      <c r="C61" s="78" t="s">
        <v>108</v>
      </c>
      <c r="D61" s="132">
        <f>VLOOKUP(C61,'Past True Up FY21 FY22'!$P$30:$Q$48,2,0)</f>
        <v>0</v>
      </c>
      <c r="E61" s="132">
        <f>'True Up FY23 FY24'!D20</f>
        <v>0</v>
      </c>
      <c r="F61" s="138">
        <f t="shared" si="19"/>
        <v>0</v>
      </c>
      <c r="G61" s="132">
        <f>'True Up FY23 FY24'!F20</f>
        <v>0</v>
      </c>
      <c r="H61" s="132">
        <f>'True Up FY23 FY24'!G20</f>
        <v>0</v>
      </c>
      <c r="I61" s="219">
        <f>'True Up FY23 FY24'!H20</f>
        <v>0</v>
      </c>
      <c r="J61" s="132">
        <f>'True Up FY23 FY24'!I20</f>
        <v>0</v>
      </c>
      <c r="K61" s="132">
        <v>0</v>
      </c>
      <c r="L61" s="132">
        <f t="shared" si="18"/>
        <v>0</v>
      </c>
      <c r="M61" s="138">
        <f t="shared" si="20"/>
        <v>0</v>
      </c>
      <c r="N61" s="132">
        <f t="shared" si="21"/>
        <v>0</v>
      </c>
      <c r="O61" s="132">
        <f t="shared" si="22"/>
        <v>0</v>
      </c>
    </row>
    <row r="62" spans="2:15" ht="13.9">
      <c r="B62" s="68">
        <v>14</v>
      </c>
      <c r="C62" s="78" t="s">
        <v>109</v>
      </c>
      <c r="D62" s="132">
        <f>VLOOKUP(C62,'Past True Up FY21 FY22'!$P$30:$Q$48,2,0)</f>
        <v>0</v>
      </c>
      <c r="E62" s="132">
        <f>'True Up FY23 FY24'!D21</f>
        <v>0</v>
      </c>
      <c r="F62" s="138">
        <f t="shared" si="19"/>
        <v>0</v>
      </c>
      <c r="G62" s="132">
        <f>'True Up FY23 FY24'!F21</f>
        <v>0</v>
      </c>
      <c r="H62" s="132">
        <f>'True Up FY23 FY24'!G21</f>
        <v>0</v>
      </c>
      <c r="I62" s="219">
        <f>'True Up FY23 FY24'!H21</f>
        <v>0</v>
      </c>
      <c r="J62" s="132">
        <f>'True Up FY23 FY24'!I21</f>
        <v>0</v>
      </c>
      <c r="K62" s="132">
        <v>0</v>
      </c>
      <c r="L62" s="132">
        <f t="shared" si="18"/>
        <v>0</v>
      </c>
      <c r="M62" s="138">
        <f t="shared" si="20"/>
        <v>0</v>
      </c>
      <c r="N62" s="132">
        <f t="shared" si="21"/>
        <v>0</v>
      </c>
      <c r="O62" s="132">
        <f t="shared" si="22"/>
        <v>0</v>
      </c>
    </row>
    <row r="63" spans="2:15" ht="13.9">
      <c r="B63" s="137"/>
      <c r="C63" s="79" t="s">
        <v>191</v>
      </c>
      <c r="D63" s="139">
        <f>SUM(D49:D62)</f>
        <v>22488.98</v>
      </c>
      <c r="E63" s="139">
        <f t="shared" ref="E63" si="23">SUM(E49:E62)</f>
        <v>7018.4791662999996</v>
      </c>
      <c r="F63" s="222">
        <f t="shared" ref="F63" si="24">SUM(F49:F62)</f>
        <v>1</v>
      </c>
      <c r="G63" s="139">
        <f t="shared" ref="G63" si="25">SUM(G49:G62)</f>
        <v>7018.4791662999996</v>
      </c>
      <c r="H63" s="139">
        <f t="shared" ref="H63" si="26">SUM(H49:H62)</f>
        <v>25284.63668026738</v>
      </c>
      <c r="I63" s="222">
        <f t="shared" ref="I63" si="27">SUM(I49:I62)</f>
        <v>1</v>
      </c>
      <c r="J63" s="139">
        <f t="shared" ref="J63" si="28">SUM(J49:J62)</f>
        <v>7018.4791662999987</v>
      </c>
      <c r="K63" s="139">
        <f t="shared" ref="K63" si="29">SUM(K49:K62)</f>
        <v>781.11981274428229</v>
      </c>
      <c r="L63" s="139">
        <f t="shared" ref="L63:N63" si="30">SUM(L49:L62)</f>
        <v>24503.516867523096</v>
      </c>
      <c r="M63" s="222">
        <f t="shared" ref="M63" si="31">SUM(M49:M62)</f>
        <v>0.99999999999999989</v>
      </c>
      <c r="N63" s="139">
        <f t="shared" si="30"/>
        <v>7018.4791662999987</v>
      </c>
      <c r="O63" s="139">
        <f t="shared" ref="O63:S63" si="32">SUM(O49:O62)</f>
        <v>-6.8611782921834674E-13</v>
      </c>
    </row>
    <row r="66" spans="2:16" ht="69" customHeight="1">
      <c r="B66" s="411" t="s">
        <v>2</v>
      </c>
      <c r="C66" s="411" t="s">
        <v>82</v>
      </c>
      <c r="D66" s="430" t="s">
        <v>52</v>
      </c>
      <c r="E66" s="431"/>
      <c r="F66" s="431"/>
      <c r="G66" s="431"/>
      <c r="H66" s="431"/>
      <c r="I66" s="431"/>
      <c r="J66" s="431"/>
      <c r="K66" s="431"/>
      <c r="L66" s="431"/>
      <c r="M66" s="431"/>
      <c r="N66" s="431"/>
      <c r="O66" s="432"/>
      <c r="P66" s="438" t="s">
        <v>269</v>
      </c>
    </row>
    <row r="67" spans="2:16" ht="13.9">
      <c r="B67" s="411"/>
      <c r="C67" s="411"/>
      <c r="D67" s="411" t="s">
        <v>270</v>
      </c>
      <c r="E67" s="411"/>
      <c r="F67" s="411"/>
      <c r="G67" s="430" t="s">
        <v>56</v>
      </c>
      <c r="H67" s="431"/>
      <c r="I67" s="431"/>
      <c r="J67" s="432"/>
      <c r="K67" s="430" t="s">
        <v>258</v>
      </c>
      <c r="L67" s="431"/>
      <c r="M67" s="431"/>
      <c r="N67" s="431"/>
      <c r="O67" s="432"/>
      <c r="P67" s="439"/>
    </row>
    <row r="68" spans="2:16" ht="41.45">
      <c r="B68" s="411"/>
      <c r="C68" s="411"/>
      <c r="D68" s="50" t="s">
        <v>163</v>
      </c>
      <c r="E68" s="50" t="s">
        <v>259</v>
      </c>
      <c r="F68" s="50" t="s">
        <v>189</v>
      </c>
      <c r="G68" s="50" t="s">
        <v>260</v>
      </c>
      <c r="H68" s="50" t="s">
        <v>261</v>
      </c>
      <c r="I68" s="50" t="s">
        <v>249</v>
      </c>
      <c r="J68" s="50" t="s">
        <v>250</v>
      </c>
      <c r="K68" s="50" t="s">
        <v>262</v>
      </c>
      <c r="L68" s="50" t="s">
        <v>263</v>
      </c>
      <c r="M68" s="50" t="s">
        <v>264</v>
      </c>
      <c r="N68" s="50" t="s">
        <v>265</v>
      </c>
      <c r="O68" s="50" t="s">
        <v>266</v>
      </c>
      <c r="P68" s="439"/>
    </row>
    <row r="69" spans="2:16" ht="13.9">
      <c r="B69" s="414"/>
      <c r="C69" s="414"/>
      <c r="D69" s="50"/>
      <c r="E69" s="50"/>
      <c r="F69" s="50"/>
      <c r="G69" s="50"/>
      <c r="H69" s="50" t="s">
        <v>201</v>
      </c>
      <c r="I69" s="50"/>
      <c r="J69" s="50" t="s">
        <v>204</v>
      </c>
      <c r="K69" s="50" t="s">
        <v>202</v>
      </c>
      <c r="L69" s="50" t="s">
        <v>267</v>
      </c>
      <c r="M69" s="50"/>
      <c r="N69" s="50" t="s">
        <v>205</v>
      </c>
      <c r="O69" s="50" t="s">
        <v>268</v>
      </c>
      <c r="P69" s="440"/>
    </row>
    <row r="70" spans="2:16" ht="13.9">
      <c r="B70" s="68">
        <v>1</v>
      </c>
      <c r="C70" s="78" t="s">
        <v>96</v>
      </c>
      <c r="D70" s="132">
        <v>22179.26</v>
      </c>
      <c r="E70" s="132">
        <f>'True Up FY23 FY24'!D30</f>
        <v>8562.9599999999991</v>
      </c>
      <c r="F70" s="190">
        <f>'True Up FY23 FY24'!E30</f>
        <v>0.85894000000000004</v>
      </c>
      <c r="G70" s="132">
        <f>'True Up FY23 FY24'!F30</f>
        <v>8562.9583583999993</v>
      </c>
      <c r="H70" s="132">
        <f>'True Up FY23 FY24'!G30</f>
        <v>23299.942140979343</v>
      </c>
      <c r="I70" s="219">
        <f>'True Up FY23 FY24'!H30</f>
        <v>0.85828039050383176</v>
      </c>
      <c r="J70" s="132">
        <f>'True Up FY23 FY24'!I30</f>
        <v>8329.4395334182718</v>
      </c>
      <c r="K70" s="132">
        <f>'POA Data'!R10</f>
        <v>943.3537413786953</v>
      </c>
      <c r="L70" s="132">
        <f t="shared" ref="L70:L83" si="33">H70-K70</f>
        <v>22356.588399600649</v>
      </c>
      <c r="M70" s="138">
        <f>L70/$L$84</f>
        <v>0.85317840936713862</v>
      </c>
      <c r="N70" s="132">
        <f>M70*$J$84</f>
        <v>8279.9258268849317</v>
      </c>
      <c r="O70" s="132">
        <f>N70-J70</f>
        <v>-49.513706533340155</v>
      </c>
      <c r="P70" s="132">
        <f>O70+O49+O28+O8</f>
        <v>-134.01093296794534</v>
      </c>
    </row>
    <row r="71" spans="2:16" ht="13.9">
      <c r="B71" s="68">
        <v>2</v>
      </c>
      <c r="C71" s="78" t="s">
        <v>97</v>
      </c>
      <c r="D71" s="132">
        <v>857.41</v>
      </c>
      <c r="E71" s="132">
        <f>'True Up FY23 FY24'!D31</f>
        <v>277</v>
      </c>
      <c r="F71" s="190">
        <f>'True Up FY23 FY24'!E31</f>
        <v>3.32E-2</v>
      </c>
      <c r="G71" s="132">
        <f>'True Up FY23 FY24'!F31</f>
        <v>277.00274280000002</v>
      </c>
      <c r="H71" s="132">
        <f>'True Up FY23 FY24'!G31</f>
        <v>887.88524415390566</v>
      </c>
      <c r="I71" s="219">
        <f>'True Up FY23 FY24'!H31</f>
        <v>3.2706282679334307E-2</v>
      </c>
      <c r="J71" s="132">
        <f>'True Up FY23 FY24'!I31</f>
        <v>317.40793213332097</v>
      </c>
      <c r="K71" s="132">
        <v>0</v>
      </c>
      <c r="L71" s="132">
        <f t="shared" si="33"/>
        <v>887.88524415390566</v>
      </c>
      <c r="M71" s="138">
        <f t="shared" ref="M71:M83" si="34">L71/$L$84</f>
        <v>3.388372620937613E-2</v>
      </c>
      <c r="N71" s="132">
        <f t="shared" ref="N71:N83" si="35">M71*$J$84</f>
        <v>328.83478610319986</v>
      </c>
      <c r="O71" s="132">
        <f t="shared" ref="O71:O83" si="36">N71-J71</f>
        <v>11.426853969878891</v>
      </c>
      <c r="P71" s="132">
        <f t="shared" ref="P71:P83" si="37">O71+O50+O29+O9</f>
        <v>31.286523681244518</v>
      </c>
    </row>
    <row r="72" spans="2:16" ht="13.9">
      <c r="B72" s="68">
        <v>3</v>
      </c>
      <c r="C72" s="78" t="s">
        <v>98</v>
      </c>
      <c r="D72" s="132">
        <v>1531.17</v>
      </c>
      <c r="E72" s="132">
        <f>'True Up FY23 FY24'!D32</f>
        <v>490.65</v>
      </c>
      <c r="F72" s="190">
        <f>'True Up FY23 FY24'!E32</f>
        <v>5.9299999999999999E-2</v>
      </c>
      <c r="G72" s="132">
        <f>'True Up FY23 FY24'!F32</f>
        <v>490.64989320000001</v>
      </c>
      <c r="H72" s="132">
        <f>'True Up FY23 FY24'!G32</f>
        <v>1620.5122889019176</v>
      </c>
      <c r="I72" s="219">
        <f>'True Up FY23 FY24'!H32</f>
        <v>5.9693449525301513E-2</v>
      </c>
      <c r="J72" s="132">
        <f>'True Up FY23 FY24'!I32</f>
        <v>579.3129889292685</v>
      </c>
      <c r="K72" s="132">
        <v>0</v>
      </c>
      <c r="L72" s="132">
        <f t="shared" si="33"/>
        <v>1620.5122889019176</v>
      </c>
      <c r="M72" s="138">
        <f t="shared" si="34"/>
        <v>6.1842445380885396E-2</v>
      </c>
      <c r="N72" s="132">
        <f t="shared" si="35"/>
        <v>600.16856390767941</v>
      </c>
      <c r="O72" s="132">
        <f t="shared" si="36"/>
        <v>20.855574978410914</v>
      </c>
      <c r="P72" s="132">
        <f t="shared" si="37"/>
        <v>57.047407210413496</v>
      </c>
    </row>
    <row r="73" spans="2:16" ht="13.9">
      <c r="B73" s="68">
        <v>4</v>
      </c>
      <c r="C73" s="78" t="s">
        <v>99</v>
      </c>
      <c r="D73" s="132">
        <v>778.7</v>
      </c>
      <c r="E73" s="132">
        <f>'True Up FY23 FY24'!D33</f>
        <v>232.1</v>
      </c>
      <c r="F73" s="190">
        <f>'True Up FY23 FY24'!E33</f>
        <v>3.0159999999999999E-2</v>
      </c>
      <c r="G73" s="132">
        <f>'True Up FY23 FY24'!F33</f>
        <v>232.104558</v>
      </c>
      <c r="H73" s="132">
        <f>'True Up FY23 FY24'!G33</f>
        <v>809.62212685602651</v>
      </c>
      <c r="I73" s="219">
        <f>'True Up FY23 FY24'!H33</f>
        <v>2.9823369989249508E-2</v>
      </c>
      <c r="J73" s="132">
        <f>'True Up FY23 FY24'!I33</f>
        <v>289.42984105973915</v>
      </c>
      <c r="K73" s="132">
        <v>0</v>
      </c>
      <c r="L73" s="132">
        <f t="shared" si="33"/>
        <v>809.62212685602651</v>
      </c>
      <c r="M73" s="138">
        <f t="shared" si="34"/>
        <v>3.0897027132807224E-2</v>
      </c>
      <c r="N73" s="132">
        <f t="shared" si="35"/>
        <v>299.8494689061086</v>
      </c>
      <c r="O73" s="132">
        <f t="shared" si="36"/>
        <v>10.419627846369451</v>
      </c>
      <c r="P73" s="132">
        <f t="shared" si="37"/>
        <v>28.865989783252161</v>
      </c>
    </row>
    <row r="74" spans="2:16" ht="13.9">
      <c r="B74" s="68">
        <v>5</v>
      </c>
      <c r="C74" s="78" t="s">
        <v>100</v>
      </c>
      <c r="D74" s="132">
        <v>412.77</v>
      </c>
      <c r="E74" s="132">
        <f>'True Up FY23 FY24'!D34</f>
        <v>125.18</v>
      </c>
      <c r="F74" s="190">
        <f>'True Up FY23 FY24'!E34</f>
        <v>1.5990000000000001E-2</v>
      </c>
      <c r="G74" s="132">
        <f>'True Up FY23 FY24'!F34</f>
        <v>125.17557600000001</v>
      </c>
      <c r="H74" s="132">
        <f>'True Up FY23 FY24'!G34</f>
        <v>476.29576368417844</v>
      </c>
      <c r="I74" s="219">
        <f>'True Up FY23 FY24'!H34</f>
        <v>1.7544906831815633E-2</v>
      </c>
      <c r="J74" s="132">
        <f>'True Up FY23 FY24'!I34</f>
        <v>170.26981181438632</v>
      </c>
      <c r="K74" s="132">
        <v>0</v>
      </c>
      <c r="L74" s="132">
        <f t="shared" si="33"/>
        <v>476.29576368417844</v>
      </c>
      <c r="M74" s="138">
        <f t="shared" si="34"/>
        <v>1.8176532786891256E-2</v>
      </c>
      <c r="N74" s="132">
        <f t="shared" si="35"/>
        <v>176.39961538295157</v>
      </c>
      <c r="O74" s="132">
        <f t="shared" si="36"/>
        <v>6.1298035685652508</v>
      </c>
      <c r="P74" s="132">
        <f t="shared" si="37"/>
        <v>15.481643599131374</v>
      </c>
    </row>
    <row r="75" spans="2:16" ht="13.9">
      <c r="B75" s="68">
        <v>6</v>
      </c>
      <c r="C75" s="78" t="s">
        <v>101</v>
      </c>
      <c r="D75" s="132">
        <v>13</v>
      </c>
      <c r="E75" s="132">
        <f>'True Up FY23 FY24'!D35</f>
        <v>1.56</v>
      </c>
      <c r="F75" s="190">
        <f>'True Up FY23 FY24'!E35</f>
        <v>5.0000000000000001E-4</v>
      </c>
      <c r="G75" s="132">
        <f>'True Up FY23 FY24'!F35</f>
        <v>1.5575748</v>
      </c>
      <c r="H75" s="132">
        <f>'True Up FY23 FY24'!G35</f>
        <v>9.6288927584068791</v>
      </c>
      <c r="I75" s="219">
        <f>'True Up FY23 FY24'!H35</f>
        <v>3.5469143171261154E-4</v>
      </c>
      <c r="J75" s="132">
        <f>'True Up FY23 FY24'!I35</f>
        <v>3.4422094063426747</v>
      </c>
      <c r="K75" s="132">
        <v>0</v>
      </c>
      <c r="L75" s="132">
        <f t="shared" si="33"/>
        <v>9.6288927584068791</v>
      </c>
      <c r="M75" s="138">
        <f t="shared" si="34"/>
        <v>3.6746051144955047E-4</v>
      </c>
      <c r="N75" s="132">
        <f t="shared" si="35"/>
        <v>3.5661307713686119</v>
      </c>
      <c r="O75" s="132">
        <f t="shared" si="36"/>
        <v>0.1239213650259372</v>
      </c>
      <c r="P75" s="132">
        <f t="shared" si="37"/>
        <v>0.32211523218449978</v>
      </c>
    </row>
    <row r="76" spans="2:16" ht="13.9">
      <c r="B76" s="68">
        <v>7</v>
      </c>
      <c r="C76" s="78" t="s">
        <v>102</v>
      </c>
      <c r="D76" s="132">
        <v>5.5</v>
      </c>
      <c r="E76" s="132">
        <f>'True Up FY23 FY24'!D36</f>
        <v>0.52</v>
      </c>
      <c r="F76" s="190">
        <f>'True Up FY23 FY24'!E36</f>
        <v>2.1000000000000001E-4</v>
      </c>
      <c r="G76" s="132">
        <f>'True Up FY23 FY24'!F36</f>
        <v>0.5181732</v>
      </c>
      <c r="H76" s="132">
        <f>'True Up FY23 FY24'!G36</f>
        <v>4.7581209253517445</v>
      </c>
      <c r="I76" s="219">
        <f>'True Up FY23 FY24'!H36</f>
        <v>1.7527090244112077E-4</v>
      </c>
      <c r="J76" s="132">
        <f>'True Up FY23 FY24'!I36</f>
        <v>1.7009690539404798</v>
      </c>
      <c r="K76" s="132">
        <v>0</v>
      </c>
      <c r="L76" s="132">
        <f t="shared" si="33"/>
        <v>4.7581209253517445</v>
      </c>
      <c r="M76" s="138">
        <f t="shared" si="34"/>
        <v>1.8158074792577091E-4</v>
      </c>
      <c r="N76" s="132">
        <f t="shared" si="35"/>
        <v>1.7622048423973886</v>
      </c>
      <c r="O76" s="132">
        <f t="shared" si="36"/>
        <v>6.1235788456908802E-2</v>
      </c>
      <c r="P76" s="132">
        <f t="shared" si="37"/>
        <v>0.16422578040012614</v>
      </c>
    </row>
    <row r="77" spans="2:16" ht="13.9">
      <c r="B77" s="68">
        <v>8</v>
      </c>
      <c r="C77" s="78" t="s">
        <v>103</v>
      </c>
      <c r="D77" s="132">
        <v>6</v>
      </c>
      <c r="E77" s="132">
        <f>'True Up FY23 FY24'!D37</f>
        <v>1.22</v>
      </c>
      <c r="F77" s="190">
        <f>'True Up FY23 FY24'!E37</f>
        <v>2.3000000000000001E-4</v>
      </c>
      <c r="G77" s="132">
        <f>'True Up FY23 FY24'!F37</f>
        <v>1.2240636</v>
      </c>
      <c r="H77" s="132">
        <f>'True Up FY23 FY24'!G37</f>
        <v>4.8354931743877367</v>
      </c>
      <c r="I77" s="219">
        <f>'True Up FY23 FY24'!H37</f>
        <v>1.7812099896560851E-4</v>
      </c>
      <c r="J77" s="132">
        <f>'True Up FY23 FY24'!I37</f>
        <v>1.7286286706901883</v>
      </c>
      <c r="K77" s="132">
        <v>0</v>
      </c>
      <c r="L77" s="132">
        <f t="shared" si="33"/>
        <v>4.8354931743877367</v>
      </c>
      <c r="M77" s="138">
        <f t="shared" si="34"/>
        <v>1.8453344943736939E-4</v>
      </c>
      <c r="N77" s="132">
        <f t="shared" si="35"/>
        <v>1.7908602200259685</v>
      </c>
      <c r="O77" s="132">
        <f t="shared" si="36"/>
        <v>6.2231549335780123E-2</v>
      </c>
      <c r="P77" s="132">
        <f t="shared" si="37"/>
        <v>0.13754905238693471</v>
      </c>
    </row>
    <row r="78" spans="2:16" ht="13.9">
      <c r="B78" s="68">
        <v>9</v>
      </c>
      <c r="C78" s="78" t="s">
        <v>104</v>
      </c>
      <c r="D78" s="132">
        <v>4.5</v>
      </c>
      <c r="E78" s="132">
        <f>'True Up FY23 FY24'!D38</f>
        <v>1.59</v>
      </c>
      <c r="F78" s="190">
        <f>'True Up FY23 FY24'!E38</f>
        <v>1.7000000000000001E-4</v>
      </c>
      <c r="G78" s="132">
        <f>'True Up FY23 FY24'!F38</f>
        <v>1.5906252000000001</v>
      </c>
      <c r="H78" s="132">
        <f>'True Up FY23 FY24'!G38</f>
        <v>5.00902343187059</v>
      </c>
      <c r="I78" s="219">
        <f>'True Up FY23 FY24'!H38</f>
        <v>1.8451318724897194E-4</v>
      </c>
      <c r="J78" s="132">
        <f>'True Up FY23 FY24'!I38</f>
        <v>1.790663579540017</v>
      </c>
      <c r="K78" s="132">
        <v>0</v>
      </c>
      <c r="L78" s="132">
        <f t="shared" si="33"/>
        <v>5.00902343187059</v>
      </c>
      <c r="M78" s="138">
        <f t="shared" si="34"/>
        <v>1.9115575989055712E-4</v>
      </c>
      <c r="N78" s="132">
        <f t="shared" si="35"/>
        <v>1.8551284185094157</v>
      </c>
      <c r="O78" s="132">
        <f t="shared" si="36"/>
        <v>6.4464838969398697E-2</v>
      </c>
      <c r="P78" s="132">
        <f t="shared" si="37"/>
        <v>0.12654227278873925</v>
      </c>
    </row>
    <row r="79" spans="2:16" ht="13.9">
      <c r="B79" s="68">
        <v>10</v>
      </c>
      <c r="C79" s="78" t="s">
        <v>105</v>
      </c>
      <c r="D79" s="132">
        <v>15</v>
      </c>
      <c r="E79" s="132">
        <f>'True Up FY23 FY24'!D39</f>
        <v>5.14</v>
      </c>
      <c r="F79" s="190">
        <f>'True Up FY23 FY24'!E39</f>
        <v>5.8E-4</v>
      </c>
      <c r="G79" s="132">
        <f>'True Up FY23 FY24'!F39</f>
        <v>5.1405599999999998</v>
      </c>
      <c r="H79" s="132">
        <f>'True Up FY23 FY24'!G39</f>
        <v>13.642857587808855</v>
      </c>
      <c r="I79" s="219">
        <f>'True Up FY23 FY24'!H39</f>
        <v>5.0255048133611283E-4</v>
      </c>
      <c r="J79" s="132">
        <f>'True Up FY23 FY24'!I39</f>
        <v>4.8771519110696859</v>
      </c>
      <c r="K79" s="132">
        <v>0</v>
      </c>
      <c r="L79" s="132">
        <f t="shared" si="33"/>
        <v>13.642857587808855</v>
      </c>
      <c r="M79" s="138">
        <f t="shared" si="34"/>
        <v>5.2064256531184679E-4</v>
      </c>
      <c r="N79" s="132">
        <f t="shared" si="35"/>
        <v>5.0527319676301516</v>
      </c>
      <c r="O79" s="132">
        <f t="shared" si="36"/>
        <v>0.17558005656046571</v>
      </c>
      <c r="P79" s="132">
        <f t="shared" si="37"/>
        <v>0.38452378437487678</v>
      </c>
    </row>
    <row r="80" spans="2:16" ht="13.9">
      <c r="B80" s="68">
        <v>11</v>
      </c>
      <c r="C80" s="78" t="s">
        <v>106</v>
      </c>
      <c r="D80" s="132">
        <v>9</v>
      </c>
      <c r="E80" s="132">
        <f>'True Up FY23 FY24'!D40</f>
        <v>3.38</v>
      </c>
      <c r="F80" s="190">
        <f>'True Up FY23 FY24'!E40</f>
        <v>3.5E-4</v>
      </c>
      <c r="G80" s="132">
        <f>'True Up FY23 FY24'!F40</f>
        <v>3.3825612</v>
      </c>
      <c r="H80" s="132">
        <f>'True Up FY23 FY24'!G40</f>
        <v>7.8086218578848205</v>
      </c>
      <c r="I80" s="219">
        <f>'True Up FY23 FY24'!H40</f>
        <v>2.8763964206137907E-4</v>
      </c>
      <c r="J80" s="132">
        <f>'True Up FY23 FY24'!I40</f>
        <v>2.7914851981622149</v>
      </c>
      <c r="K80" s="132">
        <v>0</v>
      </c>
      <c r="L80" s="132">
        <f t="shared" si="33"/>
        <v>7.8086218578848205</v>
      </c>
      <c r="M80" s="138">
        <f t="shared" si="34"/>
        <v>2.979948217939481E-4</v>
      </c>
      <c r="N80" s="132">
        <f t="shared" si="35"/>
        <v>2.8919801464267083</v>
      </c>
      <c r="O80" s="132">
        <f t="shared" si="36"/>
        <v>0.10049494826449346</v>
      </c>
      <c r="P80" s="132">
        <f t="shared" si="37"/>
        <v>0.10049494826449346</v>
      </c>
    </row>
    <row r="81" spans="2:16" ht="13.9">
      <c r="B81" s="68">
        <v>12</v>
      </c>
      <c r="C81" s="78" t="s">
        <v>107</v>
      </c>
      <c r="D81" s="132">
        <v>7</v>
      </c>
      <c r="E81" s="132">
        <f>'True Up FY23 FY24'!D41</f>
        <v>2.63</v>
      </c>
      <c r="F81" s="190">
        <f>'True Up FY23 FY24'!E41</f>
        <v>2.7E-4</v>
      </c>
      <c r="G81" s="132">
        <f>'True Up FY23 FY24'!F41</f>
        <v>2.6308812000000001</v>
      </c>
      <c r="H81" s="132">
        <f>'True Up FY23 FY24'!G41</f>
        <v>5.5719009025949369</v>
      </c>
      <c r="I81" s="219">
        <f>'True Up FY23 FY24'!H41</f>
        <v>2.05247431671383E-4</v>
      </c>
      <c r="J81" s="132">
        <f>'True Up FY23 FY24'!I41</f>
        <v>1.9918852748023379</v>
      </c>
      <c r="K81" s="132">
        <v>0</v>
      </c>
      <c r="L81" s="132">
        <f t="shared" si="33"/>
        <v>5.5719009025949369</v>
      </c>
      <c r="M81" s="138">
        <f t="shared" si="34"/>
        <v>2.1263644811353189E-4</v>
      </c>
      <c r="N81" s="132">
        <f t="shared" si="35"/>
        <v>2.0635942015671489</v>
      </c>
      <c r="O81" s="132">
        <f t="shared" si="36"/>
        <v>7.1708926764810998E-2</v>
      </c>
      <c r="P81" s="132">
        <f t="shared" si="37"/>
        <v>7.1708926764810998E-2</v>
      </c>
    </row>
    <row r="82" spans="2:16" ht="13.9">
      <c r="B82" s="68">
        <v>13</v>
      </c>
      <c r="C82" s="78" t="s">
        <v>108</v>
      </c>
      <c r="D82" s="132">
        <v>1.5</v>
      </c>
      <c r="E82" s="132">
        <f>'True Up FY23 FY24'!D42</f>
        <v>0.56000000000000005</v>
      </c>
      <c r="F82" s="190">
        <f>'True Up FY23 FY24'!E42</f>
        <v>6.0000000000000002E-5</v>
      </c>
      <c r="G82" s="132">
        <f>'True Up FY23 FY24'!F42</f>
        <v>0.56376000000000004</v>
      </c>
      <c r="H82" s="132">
        <f>'True Up FY23 FY24'!G42</f>
        <v>1.1110843832780235</v>
      </c>
      <c r="I82" s="219">
        <f>'True Up FY23 FY24'!H42</f>
        <v>4.0928081820656768E-5</v>
      </c>
      <c r="J82" s="132">
        <f>'True Up FY23 FY24'!I42</f>
        <v>0.39719884843673842</v>
      </c>
      <c r="K82" s="132">
        <v>0</v>
      </c>
      <c r="L82" s="132">
        <f t="shared" si="33"/>
        <v>1.1110843832780235</v>
      </c>
      <c r="M82" s="138">
        <f t="shared" si="34"/>
        <v>4.2401514482180358E-5</v>
      </c>
      <c r="N82" s="132">
        <f t="shared" si="35"/>
        <v>0.41149821772970319</v>
      </c>
      <c r="O82" s="132">
        <f t="shared" si="36"/>
        <v>1.429936929296477E-2</v>
      </c>
      <c r="P82" s="132">
        <f t="shared" si="37"/>
        <v>1.429936929296477E-2</v>
      </c>
    </row>
    <row r="83" spans="2:16" ht="13.9">
      <c r="B83" s="68">
        <v>14</v>
      </c>
      <c r="C83" s="78" t="s">
        <v>109</v>
      </c>
      <c r="D83" s="132">
        <v>0.8</v>
      </c>
      <c r="E83" s="132">
        <f>'True Up FY23 FY24'!D43</f>
        <v>0.3</v>
      </c>
      <c r="F83" s="190">
        <f>'True Up FY23 FY24'!E43</f>
        <v>3.0000000000000001E-5</v>
      </c>
      <c r="G83" s="132">
        <f>'True Up FY23 FY24'!F43</f>
        <v>0.30067199999999999</v>
      </c>
      <c r="H83" s="132">
        <f>'True Up FY23 FY24'!G43</f>
        <v>0.61456767949111812</v>
      </c>
      <c r="I83" s="219">
        <f>'True Up FY23 FY24'!H43</f>
        <v>2.2638313209240437E-5</v>
      </c>
      <c r="J83" s="132">
        <f>'True Up FY23 FY24'!I43</f>
        <v>0.21970030202398119</v>
      </c>
      <c r="K83" s="132">
        <v>0</v>
      </c>
      <c r="L83" s="132">
        <f t="shared" si="33"/>
        <v>0.61456767949111812</v>
      </c>
      <c r="M83" s="138">
        <f t="shared" si="34"/>
        <v>2.34533044964075E-5</v>
      </c>
      <c r="N83" s="132">
        <f t="shared" si="35"/>
        <v>0.22760962946735408</v>
      </c>
      <c r="O83" s="132">
        <f t="shared" si="36"/>
        <v>7.9093274433728877E-3</v>
      </c>
      <c r="P83" s="132">
        <f t="shared" si="37"/>
        <v>7.9093274433728877E-3</v>
      </c>
    </row>
    <row r="84" spans="2:16" ht="13.9">
      <c r="B84" s="137"/>
      <c r="C84" s="79" t="s">
        <v>191</v>
      </c>
      <c r="D84" s="139">
        <f>SUM(D70:D83)</f>
        <v>25821.609999999997</v>
      </c>
      <c r="E84" s="139">
        <f t="shared" ref="E84" si="38">SUM(E70:E83)</f>
        <v>9704.7899999999954</v>
      </c>
      <c r="F84" s="222">
        <f t="shared" ref="F84" si="39">SUM(F70:F83)</f>
        <v>0.99998999999999982</v>
      </c>
      <c r="G84" s="139">
        <f t="shared" ref="G84" si="40">SUM(G70:G83)</f>
        <v>9704.7999995999962</v>
      </c>
      <c r="H84" s="139">
        <f t="shared" ref="H84" si="41">SUM(H70:H83)</f>
        <v>27147.238127276451</v>
      </c>
      <c r="I84" s="222">
        <f t="shared" ref="I84" si="42">SUM(I70:I83)</f>
        <v>0.99999999999999978</v>
      </c>
      <c r="J84" s="139">
        <f t="shared" ref="J84" si="43">SUM(J70:J83)</f>
        <v>9704.7999995999962</v>
      </c>
      <c r="K84" s="139">
        <f t="shared" ref="K84" si="44">SUM(K70:K83)</f>
        <v>943.3537413786953</v>
      </c>
      <c r="L84" s="139">
        <f t="shared" ref="L84:N84" si="45">SUM(L70:L83)</f>
        <v>26203.884385897756</v>
      </c>
      <c r="M84" s="222">
        <f t="shared" ref="M84" si="46">SUM(M70:M83)</f>
        <v>0.99999999999999956</v>
      </c>
      <c r="N84" s="139">
        <f t="shared" si="45"/>
        <v>9704.7999995999926</v>
      </c>
      <c r="O84" s="139">
        <f t="shared" ref="O84:P84" si="47">SUM(O70:O83)</f>
        <v>-1.5153156507352605E-12</v>
      </c>
      <c r="P84" s="139">
        <f t="shared" si="47"/>
        <v>-2.9694857683892906E-12</v>
      </c>
    </row>
  </sheetData>
  <mergeCells count="25">
    <mergeCell ref="D66:O66"/>
    <mergeCell ref="D5:F5"/>
    <mergeCell ref="K5:O5"/>
    <mergeCell ref="K25:O25"/>
    <mergeCell ref="B4:B7"/>
    <mergeCell ref="C4:C7"/>
    <mergeCell ref="G5:J5"/>
    <mergeCell ref="D4:O4"/>
    <mergeCell ref="D24:O24"/>
    <mergeCell ref="P66:P69"/>
    <mergeCell ref="B24:B27"/>
    <mergeCell ref="C24:C27"/>
    <mergeCell ref="D25:F25"/>
    <mergeCell ref="G25:J25"/>
    <mergeCell ref="B66:B69"/>
    <mergeCell ref="C66:C69"/>
    <mergeCell ref="D67:F67"/>
    <mergeCell ref="G67:J67"/>
    <mergeCell ref="B45:B48"/>
    <mergeCell ref="C45:C48"/>
    <mergeCell ref="D46:F46"/>
    <mergeCell ref="G46:J46"/>
    <mergeCell ref="K46:O46"/>
    <mergeCell ref="K67:O67"/>
    <mergeCell ref="D45:O4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9D442-C907-43F0-8B61-1746404B7A72}">
  <dimension ref="B1:AU72"/>
  <sheetViews>
    <sheetView topLeftCell="AE1" workbookViewId="0">
      <pane xSplit="3" ySplit="9" topLeftCell="AH10" activePane="bottomRight" state="frozen"/>
      <selection pane="bottomRight" activeCell="AQ17" sqref="AQ17"/>
      <selection pane="bottomLeft" activeCell="AE10" sqref="AE10"/>
      <selection pane="topRight" activeCell="AH1" sqref="AH1"/>
    </sheetView>
  </sheetViews>
  <sheetFormatPr defaultRowHeight="13.15"/>
  <cols>
    <col min="2" max="2" width="7.7109375" customWidth="1"/>
    <col min="3" max="3" width="36.42578125" customWidth="1"/>
    <col min="4" max="4" width="13.5703125" customWidth="1"/>
    <col min="5" max="5" width="11.7109375" customWidth="1"/>
    <col min="6" max="6" width="14.7109375" customWidth="1"/>
    <col min="7" max="7" width="13.28515625" customWidth="1"/>
    <col min="8" max="8" width="13.7109375" customWidth="1"/>
    <col min="9" max="9" width="13" customWidth="1"/>
    <col min="10" max="10" width="14.42578125" customWidth="1"/>
    <col min="11" max="11" width="13.7109375" customWidth="1"/>
    <col min="15" max="15" width="6.28515625" customWidth="1"/>
    <col min="16" max="16" width="44.7109375" customWidth="1"/>
    <col min="17" max="29" width="13" customWidth="1"/>
    <col min="32" max="32" width="6.28515625" customWidth="1"/>
    <col min="33" max="33" width="29.7109375" customWidth="1"/>
    <col min="34" max="34" width="15.28515625" customWidth="1"/>
    <col min="35" max="35" width="14.5703125" customWidth="1"/>
    <col min="36" max="36" width="11.5703125" customWidth="1"/>
    <col min="37" max="37" width="13.7109375" customWidth="1"/>
    <col min="38" max="38" width="13.42578125" customWidth="1"/>
    <col min="39" max="39" width="11.7109375" customWidth="1"/>
    <col min="40" max="40" width="13.42578125" customWidth="1"/>
    <col min="41" max="41" width="14.7109375" customWidth="1"/>
    <col min="42" max="43" width="13.28515625" customWidth="1"/>
    <col min="44" max="44" width="13.140625" customWidth="1"/>
    <col min="45" max="45" width="12.28515625" customWidth="1"/>
    <col min="47" max="47" width="9.28515625" bestFit="1" customWidth="1"/>
  </cols>
  <sheetData>
    <row r="1" spans="2:47" ht="13.9">
      <c r="AF1" s="353"/>
      <c r="AG1" s="9"/>
      <c r="AH1" s="9"/>
      <c r="AI1" s="9"/>
      <c r="AJ1" s="9"/>
      <c r="AK1" s="9"/>
      <c r="AL1" s="9"/>
      <c r="AM1" s="9"/>
      <c r="AN1" s="9"/>
      <c r="AO1" s="9"/>
      <c r="AP1" s="9"/>
      <c r="AQ1" s="9"/>
      <c r="AR1" s="9"/>
      <c r="AS1" s="9"/>
      <c r="AT1" s="9"/>
    </row>
    <row r="2" spans="2:47" ht="15.6">
      <c r="B2" s="410" t="s">
        <v>271</v>
      </c>
      <c r="C2" s="410"/>
      <c r="D2" s="410"/>
      <c r="E2" s="410"/>
      <c r="F2" s="410"/>
      <c r="G2" s="410"/>
      <c r="H2" s="410"/>
      <c r="I2" s="410"/>
      <c r="J2" s="58"/>
      <c r="K2" s="58"/>
      <c r="O2" s="314"/>
      <c r="P2" s="280"/>
      <c r="Q2" s="280"/>
      <c r="R2" s="280"/>
      <c r="S2" s="280"/>
      <c r="T2" s="280"/>
      <c r="U2" s="280"/>
      <c r="V2" s="280"/>
      <c r="W2" s="280"/>
      <c r="X2" s="280"/>
      <c r="Y2" s="280"/>
      <c r="Z2" s="280"/>
      <c r="AA2" s="280"/>
      <c r="AB2" s="280"/>
      <c r="AC2" s="280"/>
      <c r="AF2" s="410" t="s">
        <v>271</v>
      </c>
      <c r="AG2" s="410"/>
      <c r="AH2" s="410"/>
      <c r="AI2" s="410"/>
      <c r="AJ2" s="410"/>
      <c r="AK2" s="410"/>
      <c r="AL2" s="410"/>
      <c r="AM2" s="410"/>
      <c r="AN2" s="410"/>
      <c r="AO2" s="410"/>
      <c r="AP2" s="410"/>
      <c r="AQ2" s="410"/>
      <c r="AR2" s="410"/>
      <c r="AS2" s="410"/>
      <c r="AT2" s="410"/>
    </row>
    <row r="3" spans="2:47" ht="15.6">
      <c r="B3" s="410" t="s">
        <v>272</v>
      </c>
      <c r="C3" s="410"/>
      <c r="D3" s="410"/>
      <c r="E3" s="410"/>
      <c r="F3" s="410"/>
      <c r="G3" s="410"/>
      <c r="H3" s="410"/>
      <c r="I3" s="410"/>
      <c r="J3" s="58"/>
      <c r="K3" s="58"/>
      <c r="O3" s="410" t="s">
        <v>271</v>
      </c>
      <c r="P3" s="410"/>
      <c r="Q3" s="410"/>
      <c r="R3" s="410"/>
      <c r="S3" s="410"/>
      <c r="T3" s="410"/>
      <c r="U3" s="410"/>
      <c r="V3" s="410"/>
      <c r="W3" s="410"/>
      <c r="X3" s="410"/>
      <c r="Y3" s="410"/>
      <c r="Z3" s="410"/>
      <c r="AA3" s="410"/>
      <c r="AB3" s="410"/>
      <c r="AC3" s="410"/>
      <c r="AF3" s="410" t="s">
        <v>272</v>
      </c>
      <c r="AG3" s="410"/>
      <c r="AH3" s="410"/>
      <c r="AI3" s="410"/>
      <c r="AJ3" s="410"/>
      <c r="AK3" s="410"/>
      <c r="AL3" s="410"/>
      <c r="AM3" s="410"/>
      <c r="AN3" s="410"/>
      <c r="AO3" s="410"/>
      <c r="AP3" s="410"/>
      <c r="AQ3" s="410"/>
      <c r="AR3" s="410"/>
      <c r="AS3" s="410"/>
      <c r="AT3" s="9"/>
    </row>
    <row r="4" spans="2:47" ht="15.6">
      <c r="B4" s="410" t="s">
        <v>199</v>
      </c>
      <c r="C4" s="410"/>
      <c r="D4" s="410"/>
      <c r="E4" s="410"/>
      <c r="F4" s="410"/>
      <c r="G4" s="410"/>
      <c r="H4" s="410"/>
      <c r="I4" s="410"/>
      <c r="J4" s="58"/>
      <c r="K4" s="58"/>
      <c r="O4" s="410" t="s">
        <v>272</v>
      </c>
      <c r="P4" s="410"/>
      <c r="Q4" s="410"/>
      <c r="R4" s="410"/>
      <c r="S4" s="410"/>
      <c r="T4" s="410"/>
      <c r="U4" s="410"/>
      <c r="V4" s="410"/>
      <c r="W4" s="410"/>
      <c r="X4" s="410"/>
      <c r="Y4" s="410"/>
      <c r="Z4" s="410"/>
      <c r="AA4" s="280"/>
      <c r="AB4" s="280"/>
      <c r="AC4" s="280"/>
      <c r="AF4" s="410" t="s">
        <v>273</v>
      </c>
      <c r="AG4" s="410"/>
      <c r="AH4" s="410"/>
      <c r="AI4" s="410"/>
      <c r="AJ4" s="410"/>
      <c r="AK4" s="410"/>
      <c r="AL4" s="410"/>
      <c r="AM4" s="410"/>
      <c r="AN4" s="410"/>
      <c r="AO4" s="410"/>
      <c r="AP4" s="410"/>
      <c r="AQ4" s="410"/>
      <c r="AR4" s="410"/>
      <c r="AS4" s="410"/>
      <c r="AT4" s="9"/>
    </row>
    <row r="5" spans="2:47" ht="15.6">
      <c r="B5" s="274"/>
      <c r="C5" s="274"/>
      <c r="D5" s="274"/>
      <c r="E5" s="274"/>
      <c r="F5" s="274"/>
      <c r="G5" s="274"/>
      <c r="H5" s="274"/>
      <c r="I5" s="274"/>
      <c r="J5" s="274"/>
      <c r="K5" s="274"/>
      <c r="O5" s="410" t="s">
        <v>274</v>
      </c>
      <c r="P5" s="410"/>
      <c r="Q5" s="410"/>
      <c r="R5" s="410"/>
      <c r="S5" s="410"/>
      <c r="T5" s="410"/>
      <c r="U5" s="410"/>
      <c r="V5" s="410"/>
      <c r="W5" s="410"/>
      <c r="X5" s="410"/>
      <c r="Y5" s="410"/>
      <c r="Z5" s="410"/>
      <c r="AA5" s="280"/>
      <c r="AB5" s="280"/>
      <c r="AC5" s="280"/>
      <c r="AF5" s="354"/>
      <c r="AG5" s="354"/>
      <c r="AH5" s="9"/>
      <c r="AI5" s="9"/>
      <c r="AJ5" s="9"/>
      <c r="AK5" s="9"/>
      <c r="AL5" s="9"/>
      <c r="AM5" s="9"/>
      <c r="AN5" s="9"/>
      <c r="AO5" s="9"/>
      <c r="AP5" s="9"/>
      <c r="AQ5" s="9"/>
      <c r="AR5" s="9"/>
      <c r="AS5" s="9"/>
      <c r="AT5" s="9"/>
    </row>
    <row r="6" spans="2:47" ht="14.45" thickBot="1">
      <c r="B6" s="277"/>
      <c r="C6" s="278"/>
      <c r="D6" s="279"/>
      <c r="E6" s="279"/>
      <c r="F6" s="279"/>
      <c r="G6" s="279"/>
      <c r="H6" s="279"/>
      <c r="I6" s="86" t="s">
        <v>21</v>
      </c>
      <c r="J6" s="280"/>
      <c r="K6" s="280"/>
      <c r="O6" s="280"/>
      <c r="P6" s="280"/>
      <c r="Q6" s="280"/>
      <c r="R6" s="280"/>
      <c r="S6" s="280"/>
      <c r="T6" s="280"/>
      <c r="U6" s="280"/>
      <c r="V6" s="280"/>
      <c r="W6" s="280"/>
      <c r="X6" s="280"/>
      <c r="Y6" s="280"/>
      <c r="Z6" s="280"/>
      <c r="AA6" s="315"/>
      <c r="AB6" s="280"/>
      <c r="AC6" s="280"/>
      <c r="AF6" s="9"/>
      <c r="AG6" s="355"/>
      <c r="AH6" s="9"/>
      <c r="AI6" s="9"/>
      <c r="AJ6" s="9"/>
      <c r="AK6" s="9"/>
      <c r="AL6" s="9"/>
      <c r="AM6" s="9"/>
      <c r="AN6" s="9"/>
      <c r="AO6" s="9"/>
      <c r="AP6" s="9"/>
      <c r="AQ6" s="9"/>
      <c r="AR6" s="9"/>
      <c r="AS6" s="9"/>
      <c r="AT6" s="9"/>
    </row>
    <row r="7" spans="2:47" ht="13.9">
      <c r="B7" s="441" t="s">
        <v>2</v>
      </c>
      <c r="C7" s="444" t="s">
        <v>82</v>
      </c>
      <c r="D7" s="447" t="s">
        <v>120</v>
      </c>
      <c r="E7" s="448"/>
      <c r="F7" s="448"/>
      <c r="G7" s="448"/>
      <c r="H7" s="448"/>
      <c r="I7" s="449"/>
      <c r="J7" s="280"/>
      <c r="K7" s="280"/>
      <c r="O7" s="450" t="s">
        <v>2</v>
      </c>
      <c r="P7" s="455" t="s">
        <v>82</v>
      </c>
      <c r="Q7" s="444" t="s">
        <v>218</v>
      </c>
      <c r="R7" s="444"/>
      <c r="S7" s="444"/>
      <c r="T7" s="444"/>
      <c r="U7" s="444" t="s">
        <v>120</v>
      </c>
      <c r="V7" s="444"/>
      <c r="W7" s="444"/>
      <c r="X7" s="444"/>
      <c r="Y7" s="444" t="s">
        <v>119</v>
      </c>
      <c r="Z7" s="444"/>
      <c r="AA7" s="444"/>
      <c r="AB7" s="444"/>
      <c r="AC7" s="458" t="s">
        <v>25</v>
      </c>
      <c r="AF7" s="450" t="s">
        <v>2</v>
      </c>
      <c r="AG7" s="455" t="s">
        <v>82</v>
      </c>
      <c r="AH7" s="447" t="s">
        <v>120</v>
      </c>
      <c r="AI7" s="448"/>
      <c r="AJ7" s="448"/>
      <c r="AK7" s="448"/>
      <c r="AL7" s="448"/>
      <c r="AM7" s="453"/>
      <c r="AN7" s="447" t="s">
        <v>119</v>
      </c>
      <c r="AO7" s="448"/>
      <c r="AP7" s="448"/>
      <c r="AQ7" s="448"/>
      <c r="AR7" s="448"/>
      <c r="AS7" s="449"/>
      <c r="AT7" s="285"/>
    </row>
    <row r="8" spans="2:47" ht="27.6">
      <c r="B8" s="442"/>
      <c r="C8" s="445"/>
      <c r="D8" s="182" t="s">
        <v>231</v>
      </c>
      <c r="E8" s="182" t="s">
        <v>275</v>
      </c>
      <c r="F8" s="182" t="s">
        <v>276</v>
      </c>
      <c r="G8" s="182" t="s">
        <v>277</v>
      </c>
      <c r="H8" s="182" t="s">
        <v>278</v>
      </c>
      <c r="I8" s="281" t="s">
        <v>200</v>
      </c>
      <c r="J8" s="280"/>
      <c r="K8" s="280"/>
      <c r="O8" s="451"/>
      <c r="P8" s="456"/>
      <c r="Q8" s="445" t="s">
        <v>170</v>
      </c>
      <c r="R8" s="445"/>
      <c r="S8" s="445" t="s">
        <v>56</v>
      </c>
      <c r="T8" s="445"/>
      <c r="U8" s="445" t="s">
        <v>170</v>
      </c>
      <c r="V8" s="445"/>
      <c r="W8" s="445" t="s">
        <v>56</v>
      </c>
      <c r="X8" s="445"/>
      <c r="Y8" s="445" t="s">
        <v>170</v>
      </c>
      <c r="Z8" s="445"/>
      <c r="AA8" s="445" t="s">
        <v>56</v>
      </c>
      <c r="AB8" s="445"/>
      <c r="AC8" s="454"/>
      <c r="AF8" s="451"/>
      <c r="AG8" s="456"/>
      <c r="AH8" s="462" t="s">
        <v>231</v>
      </c>
      <c r="AI8" s="463"/>
      <c r="AJ8" s="464"/>
      <c r="AK8" s="462" t="s">
        <v>56</v>
      </c>
      <c r="AL8" s="463"/>
      <c r="AM8" s="464"/>
      <c r="AN8" s="462" t="s">
        <v>231</v>
      </c>
      <c r="AO8" s="463"/>
      <c r="AP8" s="464"/>
      <c r="AQ8" s="462" t="s">
        <v>56</v>
      </c>
      <c r="AR8" s="463"/>
      <c r="AS8" s="465"/>
      <c r="AT8" s="285"/>
    </row>
    <row r="9" spans="2:47" ht="42" thickBot="1">
      <c r="B9" s="443"/>
      <c r="C9" s="446"/>
      <c r="D9" s="282" t="s">
        <v>201</v>
      </c>
      <c r="E9" s="282" t="s">
        <v>202</v>
      </c>
      <c r="F9" s="283" t="s">
        <v>279</v>
      </c>
      <c r="G9" s="282" t="s">
        <v>204</v>
      </c>
      <c r="H9" s="282" t="s">
        <v>280</v>
      </c>
      <c r="I9" s="284" t="s">
        <v>281</v>
      </c>
      <c r="J9" s="285"/>
      <c r="K9" s="285"/>
      <c r="O9" s="452"/>
      <c r="P9" s="457"/>
      <c r="Q9" s="282" t="s">
        <v>163</v>
      </c>
      <c r="R9" s="282" t="s">
        <v>164</v>
      </c>
      <c r="S9" s="282" t="s">
        <v>163</v>
      </c>
      <c r="T9" s="282" t="s">
        <v>164</v>
      </c>
      <c r="U9" s="282" t="s">
        <v>163</v>
      </c>
      <c r="V9" s="282" t="s">
        <v>164</v>
      </c>
      <c r="W9" s="282" t="s">
        <v>163</v>
      </c>
      <c r="X9" s="282" t="s">
        <v>164</v>
      </c>
      <c r="Y9" s="282" t="s">
        <v>163</v>
      </c>
      <c r="Z9" s="282" t="s">
        <v>164</v>
      </c>
      <c r="AA9" s="282" t="s">
        <v>163</v>
      </c>
      <c r="AB9" s="282" t="s">
        <v>164</v>
      </c>
      <c r="AC9" s="459"/>
      <c r="AF9" s="460"/>
      <c r="AG9" s="461"/>
      <c r="AH9" s="282" t="s">
        <v>188</v>
      </c>
      <c r="AI9" s="282" t="s">
        <v>189</v>
      </c>
      <c r="AJ9" s="282" t="s">
        <v>190</v>
      </c>
      <c r="AK9" s="282" t="s">
        <v>188</v>
      </c>
      <c r="AL9" s="282" t="s">
        <v>189</v>
      </c>
      <c r="AM9" s="282" t="s">
        <v>276</v>
      </c>
      <c r="AN9" s="282" t="s">
        <v>188</v>
      </c>
      <c r="AO9" s="282" t="s">
        <v>189</v>
      </c>
      <c r="AP9" s="282" t="s">
        <v>190</v>
      </c>
      <c r="AQ9" s="282" t="s">
        <v>188</v>
      </c>
      <c r="AR9" s="282" t="s">
        <v>189</v>
      </c>
      <c r="AS9" s="284" t="s">
        <v>276</v>
      </c>
      <c r="AT9" s="285"/>
    </row>
    <row r="10" spans="2:47" ht="15.6">
      <c r="B10" s="286">
        <v>1</v>
      </c>
      <c r="C10" s="287" t="s">
        <v>96</v>
      </c>
      <c r="D10" s="288">
        <v>5671.59</v>
      </c>
      <c r="E10" s="289">
        <v>5671.56</v>
      </c>
      <c r="F10" s="289">
        <v>5874.8058911223388</v>
      </c>
      <c r="G10" s="290">
        <v>83.546121108249991</v>
      </c>
      <c r="H10" s="290">
        <v>5958.352012230589</v>
      </c>
      <c r="I10" s="291">
        <v>286.76201223058888</v>
      </c>
      <c r="J10" s="285"/>
      <c r="K10" s="285"/>
      <c r="O10" s="286">
        <v>1</v>
      </c>
      <c r="P10" s="287" t="s">
        <v>96</v>
      </c>
      <c r="Q10" s="316">
        <v>17257.939999999999</v>
      </c>
      <c r="R10" s="317">
        <v>0.83390624924499746</v>
      </c>
      <c r="S10" s="316">
        <v>17815.263541666664</v>
      </c>
      <c r="T10" s="317">
        <v>0.8379788673657137</v>
      </c>
      <c r="U10" s="316">
        <v>17775.72</v>
      </c>
      <c r="V10" s="317">
        <v>0.83530320630660093</v>
      </c>
      <c r="W10" s="316">
        <v>17700.565156249999</v>
      </c>
      <c r="X10" s="317">
        <v>0.8652500973710755</v>
      </c>
      <c r="Y10" s="316">
        <v>18309.03</v>
      </c>
      <c r="Z10" s="317">
        <v>0.83699341158485863</v>
      </c>
      <c r="AA10" s="316">
        <v>20236.826114583328</v>
      </c>
      <c r="AB10" s="317">
        <v>0.86414513656100367</v>
      </c>
      <c r="AC10" s="318"/>
      <c r="AF10" s="286">
        <v>1</v>
      </c>
      <c r="AG10" s="287" t="s">
        <v>96</v>
      </c>
      <c r="AH10" s="316">
        <v>17775.72</v>
      </c>
      <c r="AI10" s="356">
        <v>0.83530320630660093</v>
      </c>
      <c r="AJ10" s="357">
        <v>5672</v>
      </c>
      <c r="AK10" s="289">
        <v>17700.565156249999</v>
      </c>
      <c r="AL10" s="356">
        <v>0.8652500973710755</v>
      </c>
      <c r="AM10" s="289">
        <v>5874.8058911223388</v>
      </c>
      <c r="AN10" s="316">
        <v>18309.03</v>
      </c>
      <c r="AO10" s="356">
        <v>0.83699341158485863</v>
      </c>
      <c r="AP10" s="357">
        <v>5782</v>
      </c>
      <c r="AQ10" s="289">
        <v>20236.826114583328</v>
      </c>
      <c r="AR10" s="356">
        <v>0.86414513656100367</v>
      </c>
      <c r="AS10" s="318">
        <v>5970.0676562508124</v>
      </c>
      <c r="AT10" s="86"/>
      <c r="AU10" s="368"/>
    </row>
    <row r="11" spans="2:47" ht="15.6">
      <c r="B11" s="292">
        <v>2</v>
      </c>
      <c r="C11" s="78" t="s">
        <v>97</v>
      </c>
      <c r="D11" s="293">
        <v>258.02999999999997</v>
      </c>
      <c r="E11" s="294">
        <v>258</v>
      </c>
      <c r="F11" s="289">
        <v>218.34771554555101</v>
      </c>
      <c r="G11" s="295">
        <v>0</v>
      </c>
      <c r="H11" s="295">
        <v>218.34771554555101</v>
      </c>
      <c r="I11" s="296">
        <v>-39.682284454448961</v>
      </c>
      <c r="J11" s="285"/>
      <c r="K11" s="285"/>
      <c r="O11" s="292">
        <v>2</v>
      </c>
      <c r="P11" s="78" t="s">
        <v>97</v>
      </c>
      <c r="Q11" s="319">
        <v>798.16</v>
      </c>
      <c r="R11" s="320">
        <v>3.8567210912622663E-2</v>
      </c>
      <c r="S11" s="319">
        <v>802.67989342874625</v>
      </c>
      <c r="T11" s="320">
        <v>3.7755758503347205E-2</v>
      </c>
      <c r="U11" s="319">
        <v>808.72</v>
      </c>
      <c r="V11" s="320">
        <v>3.8002759325882401E-2</v>
      </c>
      <c r="W11" s="319">
        <v>657.87330464360411</v>
      </c>
      <c r="X11" s="320">
        <v>3.2158574366181671E-2</v>
      </c>
      <c r="Y11" s="319">
        <v>819.42</v>
      </c>
      <c r="Z11" s="320">
        <v>3.745961098544625E-2</v>
      </c>
      <c r="AA11" s="319">
        <v>742.92304777409993</v>
      </c>
      <c r="AB11" s="320">
        <v>3.1724013189520117E-2</v>
      </c>
      <c r="AC11" s="321"/>
      <c r="AF11" s="292">
        <v>2</v>
      </c>
      <c r="AG11" s="78" t="s">
        <v>97</v>
      </c>
      <c r="AH11" s="319">
        <v>808.72</v>
      </c>
      <c r="AI11" s="326">
        <v>3.8002759325882401E-2</v>
      </c>
      <c r="AJ11" s="327">
        <v>258</v>
      </c>
      <c r="AK11" s="294">
        <v>657.87330464360411</v>
      </c>
      <c r="AL11" s="326">
        <v>3.2158574366181671E-2</v>
      </c>
      <c r="AM11" s="294">
        <v>218.34771554555101</v>
      </c>
      <c r="AN11" s="319">
        <v>819.42</v>
      </c>
      <c r="AO11" s="326">
        <v>3.745961098544625E-2</v>
      </c>
      <c r="AP11" s="327">
        <v>259</v>
      </c>
      <c r="AQ11" s="294">
        <v>742.92304777409993</v>
      </c>
      <c r="AR11" s="326">
        <v>3.1724013189520117E-2</v>
      </c>
      <c r="AS11" s="321">
        <v>219.16978648164627</v>
      </c>
      <c r="AT11" s="86"/>
      <c r="AU11" s="368"/>
    </row>
    <row r="12" spans="2:47" ht="15.6">
      <c r="B12" s="292">
        <v>3</v>
      </c>
      <c r="C12" s="78" t="s">
        <v>98</v>
      </c>
      <c r="D12" s="293">
        <v>472.95</v>
      </c>
      <c r="E12" s="294">
        <v>472.9199999999999</v>
      </c>
      <c r="F12" s="289">
        <v>404.24025907529585</v>
      </c>
      <c r="G12" s="295">
        <v>0</v>
      </c>
      <c r="H12" s="295">
        <v>404.24025907529585</v>
      </c>
      <c r="I12" s="296">
        <v>-68.709740924704136</v>
      </c>
      <c r="J12" s="285"/>
      <c r="K12" s="285"/>
      <c r="O12" s="292">
        <v>3</v>
      </c>
      <c r="P12" s="78" t="s">
        <v>98</v>
      </c>
      <c r="Q12" s="322">
        <v>1452.06</v>
      </c>
      <c r="R12" s="323">
        <v>7.0163756988301684E-2</v>
      </c>
      <c r="S12" s="322">
        <v>1451.3812873973327</v>
      </c>
      <c r="T12" s="323">
        <v>6.8268810308894659E-2</v>
      </c>
      <c r="U12" s="324">
        <v>1482.3</v>
      </c>
      <c r="V12" s="323">
        <v>6.9655121857695471E-2</v>
      </c>
      <c r="W12" s="322">
        <v>1217.9604189738923</v>
      </c>
      <c r="X12" s="323">
        <v>5.9537103013864466E-2</v>
      </c>
      <c r="Y12" s="324">
        <v>1513.18</v>
      </c>
      <c r="Z12" s="323">
        <v>6.9174701802442645E-2</v>
      </c>
      <c r="AA12" s="322">
        <v>1346.7361658408295</v>
      </c>
      <c r="AB12" s="323">
        <v>5.7507807862395524E-2</v>
      </c>
      <c r="AC12" s="321"/>
      <c r="AF12" s="292">
        <v>3</v>
      </c>
      <c r="AG12" s="78" t="s">
        <v>98</v>
      </c>
      <c r="AH12" s="324">
        <v>1482.3</v>
      </c>
      <c r="AI12" s="326">
        <v>6.9655121857695471E-2</v>
      </c>
      <c r="AJ12" s="327">
        <v>473</v>
      </c>
      <c r="AK12" s="294">
        <v>1217.9604189738923</v>
      </c>
      <c r="AL12" s="326">
        <v>5.9537103013864466E-2</v>
      </c>
      <c r="AM12" s="294">
        <v>404.24025907529585</v>
      </c>
      <c r="AN12" s="324">
        <v>1513.18</v>
      </c>
      <c r="AO12" s="326">
        <v>6.9174701802442645E-2</v>
      </c>
      <c r="AP12" s="327">
        <v>478</v>
      </c>
      <c r="AQ12" s="294">
        <v>1346.7361658408295</v>
      </c>
      <c r="AR12" s="326">
        <v>5.7507807862395524E-2</v>
      </c>
      <c r="AS12" s="321">
        <v>397.30074171046022</v>
      </c>
      <c r="AT12" s="86"/>
      <c r="AU12" s="368"/>
    </row>
    <row r="13" spans="2:47" ht="15.6">
      <c r="B13" s="292">
        <v>4</v>
      </c>
      <c r="C13" s="78" t="s">
        <v>99</v>
      </c>
      <c r="D13" s="293">
        <v>258.8</v>
      </c>
      <c r="E13" s="294">
        <v>258.83999999999997</v>
      </c>
      <c r="F13" s="289">
        <v>204.70619522310017</v>
      </c>
      <c r="G13" s="295">
        <v>0</v>
      </c>
      <c r="H13" s="295">
        <v>204.70619522310017</v>
      </c>
      <c r="I13" s="296">
        <v>-54.093804776899844</v>
      </c>
      <c r="J13" s="285"/>
      <c r="K13" s="285"/>
      <c r="O13" s="292">
        <v>4</v>
      </c>
      <c r="P13" s="78" t="s">
        <v>99</v>
      </c>
      <c r="Q13" s="322">
        <v>805.5</v>
      </c>
      <c r="R13" s="323">
        <v>3.8921880813518037E-2</v>
      </c>
      <c r="S13" s="322">
        <v>803.68838104367512</v>
      </c>
      <c r="T13" s="323">
        <v>3.7803194866403746E-2</v>
      </c>
      <c r="U13" s="324">
        <v>811.13</v>
      </c>
      <c r="V13" s="323">
        <v>3.8116008225347449E-2</v>
      </c>
      <c r="W13" s="322">
        <v>616.7719263559004</v>
      </c>
      <c r="X13" s="323">
        <v>3.014943108450719E-2</v>
      </c>
      <c r="Y13" s="324">
        <v>816.8</v>
      </c>
      <c r="Z13" s="323">
        <v>3.7339838242796727E-2</v>
      </c>
      <c r="AA13" s="322">
        <v>698.49509163311825</v>
      </c>
      <c r="AB13" s="323">
        <v>2.982686775726737E-2</v>
      </c>
      <c r="AC13" s="321"/>
      <c r="AF13" s="292">
        <v>4</v>
      </c>
      <c r="AG13" s="78" t="s">
        <v>99</v>
      </c>
      <c r="AH13" s="324">
        <v>811.13</v>
      </c>
      <c r="AI13" s="326">
        <v>3.8116008225347449E-2</v>
      </c>
      <c r="AJ13" s="327">
        <v>259</v>
      </c>
      <c r="AK13" s="294">
        <v>616.7719263559004</v>
      </c>
      <c r="AL13" s="326">
        <v>3.014943108450719E-2</v>
      </c>
      <c r="AM13" s="294">
        <v>204.70619522310017</v>
      </c>
      <c r="AN13" s="324">
        <v>816.8</v>
      </c>
      <c r="AO13" s="326">
        <v>3.7339838242796727E-2</v>
      </c>
      <c r="AP13" s="327">
        <v>258</v>
      </c>
      <c r="AQ13" s="294">
        <v>698.49509163311825</v>
      </c>
      <c r="AR13" s="326">
        <v>2.982686775726737E-2</v>
      </c>
      <c r="AS13" s="321">
        <v>206.06309166256764</v>
      </c>
      <c r="AT13" s="86"/>
      <c r="AU13" s="368"/>
    </row>
    <row r="14" spans="2:47" ht="15.6">
      <c r="B14" s="292">
        <v>5</v>
      </c>
      <c r="C14" s="78" t="s">
        <v>100</v>
      </c>
      <c r="D14" s="293">
        <v>115.65</v>
      </c>
      <c r="E14" s="294">
        <v>115.68</v>
      </c>
      <c r="F14" s="289">
        <v>77.152767386353332</v>
      </c>
      <c r="G14" s="297">
        <v>1.9330000000000001E-4</v>
      </c>
      <c r="H14" s="295">
        <v>77.152960686353339</v>
      </c>
      <c r="I14" s="296">
        <v>-38.497039313646667</v>
      </c>
      <c r="J14" s="285"/>
      <c r="K14" s="285"/>
      <c r="O14" s="292">
        <v>5</v>
      </c>
      <c r="P14" s="78" t="s">
        <v>100</v>
      </c>
      <c r="Q14" s="322">
        <v>350.34</v>
      </c>
      <c r="R14" s="323">
        <v>1.6928481346006094E-2</v>
      </c>
      <c r="S14" s="322">
        <v>353.58333333333331</v>
      </c>
      <c r="T14" s="323">
        <v>1.663154521924861E-2</v>
      </c>
      <c r="U14" s="324">
        <v>362.46</v>
      </c>
      <c r="V14" s="323">
        <v>1.7032446514565404E-2</v>
      </c>
      <c r="W14" s="322">
        <v>232.45833333333334</v>
      </c>
      <c r="X14" s="323">
        <v>1.1363173648744474E-2</v>
      </c>
      <c r="Y14" s="324">
        <v>375</v>
      </c>
      <c r="Z14" s="323">
        <v>1.7143045226553348E-2</v>
      </c>
      <c r="AA14" s="322">
        <v>357.75</v>
      </c>
      <c r="AB14" s="323">
        <v>1.5276502394904547E-2</v>
      </c>
      <c r="AC14" s="321"/>
      <c r="AF14" s="292">
        <v>5</v>
      </c>
      <c r="AG14" s="78" t="s">
        <v>100</v>
      </c>
      <c r="AH14" s="324">
        <v>362.46</v>
      </c>
      <c r="AI14" s="326">
        <v>1.7032446514565404E-2</v>
      </c>
      <c r="AJ14" s="327">
        <v>116</v>
      </c>
      <c r="AK14" s="294">
        <v>232.45833333333334</v>
      </c>
      <c r="AL14" s="326">
        <v>1.1363173648744474E-2</v>
      </c>
      <c r="AM14" s="294">
        <v>77.152767386353332</v>
      </c>
      <c r="AN14" s="324">
        <v>375</v>
      </c>
      <c r="AO14" s="326">
        <v>1.7143045226553348E-2</v>
      </c>
      <c r="AP14" s="327">
        <v>118</v>
      </c>
      <c r="AQ14" s="294">
        <v>357.75</v>
      </c>
      <c r="AR14" s="326">
        <v>1.5276502394904547E-2</v>
      </c>
      <c r="AS14" s="321">
        <v>105.53985550553335</v>
      </c>
      <c r="AT14" s="86"/>
      <c r="AU14" s="368"/>
    </row>
    <row r="15" spans="2:47" ht="15.6">
      <c r="B15" s="292">
        <v>6</v>
      </c>
      <c r="C15" s="78" t="s">
        <v>101</v>
      </c>
      <c r="D15" s="293">
        <v>5.04</v>
      </c>
      <c r="E15" s="294">
        <v>5.04</v>
      </c>
      <c r="F15" s="289">
        <v>2.2361539590875221</v>
      </c>
      <c r="G15" s="295">
        <v>0</v>
      </c>
      <c r="H15" s="295">
        <v>2.2361539590875221</v>
      </c>
      <c r="I15" s="296">
        <v>-2.8038460409124779</v>
      </c>
      <c r="J15" s="285"/>
      <c r="K15" s="285"/>
      <c r="O15" s="292">
        <v>6</v>
      </c>
      <c r="P15" s="78" t="s">
        <v>101</v>
      </c>
      <c r="Q15" s="322">
        <v>12.88</v>
      </c>
      <c r="R15" s="323">
        <v>6.2236353181640267E-4</v>
      </c>
      <c r="S15" s="322">
        <v>13.314109441868494</v>
      </c>
      <c r="T15" s="323">
        <v>6.2625749677999731E-4</v>
      </c>
      <c r="U15" s="324">
        <v>15.8</v>
      </c>
      <c r="V15" s="323">
        <v>7.4246166454266236E-4</v>
      </c>
      <c r="W15" s="322">
        <v>6.7374462383596105</v>
      </c>
      <c r="X15" s="323">
        <v>3.2934406118183404E-4</v>
      </c>
      <c r="Y15" s="324">
        <v>15.8</v>
      </c>
      <c r="Z15" s="323">
        <v>7.2229363887878109E-4</v>
      </c>
      <c r="AA15" s="322">
        <v>6.808906798181094</v>
      </c>
      <c r="AB15" s="323">
        <v>2.9075130959914836E-4</v>
      </c>
      <c r="AC15" s="321"/>
      <c r="AF15" s="292">
        <v>6</v>
      </c>
      <c r="AG15" s="78" t="s">
        <v>101</v>
      </c>
      <c r="AH15" s="324">
        <v>15.8</v>
      </c>
      <c r="AI15" s="326">
        <v>7.4246166454266236E-4</v>
      </c>
      <c r="AJ15" s="327">
        <v>5.04</v>
      </c>
      <c r="AK15" s="294">
        <v>6.7374462383596105</v>
      </c>
      <c r="AL15" s="326">
        <v>3.2934406118183404E-4</v>
      </c>
      <c r="AM15" s="294">
        <v>2.2361539590875221</v>
      </c>
      <c r="AN15" s="324">
        <v>15.8</v>
      </c>
      <c r="AO15" s="326">
        <v>7.2229363887878109E-4</v>
      </c>
      <c r="AP15" s="327">
        <v>4.99</v>
      </c>
      <c r="AQ15" s="294">
        <v>6.808906798181094</v>
      </c>
      <c r="AR15" s="326">
        <v>2.9075130959914836E-4</v>
      </c>
      <c r="AS15" s="321">
        <v>2.0086961275490602</v>
      </c>
      <c r="AT15" s="86"/>
      <c r="AU15" s="368"/>
    </row>
    <row r="16" spans="2:47" ht="15.6">
      <c r="B16" s="292">
        <v>7</v>
      </c>
      <c r="C16" s="78" t="s">
        <v>102</v>
      </c>
      <c r="D16" s="293">
        <v>2.31</v>
      </c>
      <c r="E16" s="294">
        <v>2.2799999999999998</v>
      </c>
      <c r="F16" s="289">
        <v>1.0242759312042105</v>
      </c>
      <c r="G16" s="295">
        <v>0</v>
      </c>
      <c r="H16" s="295">
        <v>1.0242759312042105</v>
      </c>
      <c r="I16" s="296">
        <v>-1.2857240687957896</v>
      </c>
      <c r="J16" s="285"/>
      <c r="K16" s="285"/>
      <c r="O16" s="292">
        <v>7</v>
      </c>
      <c r="P16" s="78" t="s">
        <v>102</v>
      </c>
      <c r="Q16" s="322">
        <v>5.63</v>
      </c>
      <c r="R16" s="323">
        <v>2.7204244441974743E-4</v>
      </c>
      <c r="S16" s="322">
        <v>5.9113723775608138</v>
      </c>
      <c r="T16" s="323">
        <v>2.7805399105883526E-4</v>
      </c>
      <c r="U16" s="324">
        <v>7.25</v>
      </c>
      <c r="V16" s="323">
        <v>3.4068652328698117E-4</v>
      </c>
      <c r="W16" s="322">
        <v>3.0861041529314455</v>
      </c>
      <c r="X16" s="323">
        <v>1.5085687350939515E-4</v>
      </c>
      <c r="Y16" s="324">
        <v>8</v>
      </c>
      <c r="Z16" s="323">
        <v>3.657182981664714E-4</v>
      </c>
      <c r="AA16" s="322">
        <v>3.5802600437454259</v>
      </c>
      <c r="AB16" s="323">
        <v>1.5288288227158087E-4</v>
      </c>
      <c r="AC16" s="321"/>
      <c r="AF16" s="292">
        <v>7</v>
      </c>
      <c r="AG16" s="78" t="s">
        <v>102</v>
      </c>
      <c r="AH16" s="324">
        <v>7.25</v>
      </c>
      <c r="AI16" s="326">
        <v>3.4068652328698117E-4</v>
      </c>
      <c r="AJ16" s="327">
        <v>2.31</v>
      </c>
      <c r="AK16" s="294">
        <v>3.0861041529314455</v>
      </c>
      <c r="AL16" s="326">
        <v>1.5085687350939515E-4</v>
      </c>
      <c r="AM16" s="294">
        <v>1.0242759312042105</v>
      </c>
      <c r="AN16" s="324">
        <v>8</v>
      </c>
      <c r="AO16" s="326">
        <v>3.657182981664714E-4</v>
      </c>
      <c r="AP16" s="327">
        <v>2.5299999999999998</v>
      </c>
      <c r="AQ16" s="294">
        <v>3.5802600437454259</v>
      </c>
      <c r="AR16" s="326">
        <v>1.5288288227158087E-4</v>
      </c>
      <c r="AS16" s="321">
        <v>1.0562127957767344</v>
      </c>
      <c r="AT16" s="86"/>
      <c r="AU16" s="368"/>
    </row>
    <row r="17" spans="2:47" ht="15.6">
      <c r="B17" s="292">
        <v>8</v>
      </c>
      <c r="C17" s="82" t="s">
        <v>105</v>
      </c>
      <c r="D17" s="293">
        <v>3.72</v>
      </c>
      <c r="E17" s="294">
        <v>3.72</v>
      </c>
      <c r="F17" s="289">
        <v>3.41340483520381</v>
      </c>
      <c r="G17" s="295">
        <v>0</v>
      </c>
      <c r="H17" s="295">
        <v>3.41340483520381</v>
      </c>
      <c r="I17" s="296">
        <v>-0.3065951647961902</v>
      </c>
      <c r="J17" s="285"/>
      <c r="K17" s="285"/>
      <c r="O17" s="292">
        <v>8</v>
      </c>
      <c r="P17" s="82" t="s">
        <v>105</v>
      </c>
      <c r="Q17" s="322">
        <v>11.31</v>
      </c>
      <c r="R17" s="323">
        <v>5.4650089633878217E-4</v>
      </c>
      <c r="S17" s="322">
        <v>12.040739458333332</v>
      </c>
      <c r="T17" s="323">
        <v>5.663618273140566E-4</v>
      </c>
      <c r="U17" s="324">
        <v>11.65</v>
      </c>
      <c r="V17" s="323">
        <v>5.4744799948873522E-4</v>
      </c>
      <c r="W17" s="322">
        <v>10.284458041666666</v>
      </c>
      <c r="X17" s="323">
        <v>5.0273131074680694E-4</v>
      </c>
      <c r="Y17" s="324">
        <v>12</v>
      </c>
      <c r="Z17" s="323">
        <v>5.4857744724970707E-4</v>
      </c>
      <c r="AA17" s="322">
        <v>11.063210375000002</v>
      </c>
      <c r="AB17" s="323">
        <v>4.7241693861361389E-4</v>
      </c>
      <c r="AC17" s="321"/>
      <c r="AF17" s="292">
        <v>8</v>
      </c>
      <c r="AG17" s="82" t="s">
        <v>105</v>
      </c>
      <c r="AH17" s="324">
        <v>11.65</v>
      </c>
      <c r="AI17" s="326">
        <v>5.4744799948873522E-4</v>
      </c>
      <c r="AJ17" s="327">
        <v>3.72</v>
      </c>
      <c r="AK17" s="294">
        <v>10.284458041666666</v>
      </c>
      <c r="AL17" s="326">
        <v>5.0273131074680694E-4</v>
      </c>
      <c r="AM17" s="294">
        <v>3.41340483520381</v>
      </c>
      <c r="AN17" s="324">
        <v>12</v>
      </c>
      <c r="AO17" s="326">
        <v>5.4857744724970707E-4</v>
      </c>
      <c r="AP17" s="327">
        <v>3.79</v>
      </c>
      <c r="AQ17" s="294">
        <v>11.063210375000002</v>
      </c>
      <c r="AR17" s="326">
        <v>4.7241693861361389E-4</v>
      </c>
      <c r="AS17" s="321">
        <v>3.2637585587835578</v>
      </c>
      <c r="AT17" s="86"/>
      <c r="AU17" s="368"/>
    </row>
    <row r="18" spans="2:47" ht="15.6">
      <c r="B18" s="292">
        <v>9</v>
      </c>
      <c r="C18" s="82" t="s">
        <v>104</v>
      </c>
      <c r="D18" s="298">
        <v>0.17</v>
      </c>
      <c r="E18" s="294">
        <v>0.12</v>
      </c>
      <c r="F18" s="289">
        <v>0.4563930931445333</v>
      </c>
      <c r="G18" s="295">
        <v>9.9867800000000007E-2</v>
      </c>
      <c r="H18" s="295">
        <v>0.55626089314453331</v>
      </c>
      <c r="I18" s="296">
        <v>0.38626089314453327</v>
      </c>
      <c r="J18" s="285"/>
      <c r="K18" s="285"/>
      <c r="O18" s="292">
        <v>9</v>
      </c>
      <c r="P18" s="82" t="s">
        <v>104</v>
      </c>
      <c r="Q18" s="322">
        <v>0.53</v>
      </c>
      <c r="R18" s="323">
        <v>2.5609679492445141E-5</v>
      </c>
      <c r="S18" s="322">
        <v>0.55915869839830734</v>
      </c>
      <c r="T18" s="323">
        <v>2.6301220392592913E-5</v>
      </c>
      <c r="U18" s="324">
        <v>0.53</v>
      </c>
      <c r="V18" s="323">
        <v>2.4905359633393106E-5</v>
      </c>
      <c r="W18" s="322">
        <v>1.3750949106718424</v>
      </c>
      <c r="X18" s="323">
        <v>6.7218249522002865E-5</v>
      </c>
      <c r="Y18" s="324">
        <v>0.53</v>
      </c>
      <c r="Z18" s="323">
        <v>2.422883725352873E-5</v>
      </c>
      <c r="AA18" s="322">
        <v>2.2984357569656573</v>
      </c>
      <c r="AB18" s="323">
        <v>9.8146916410398621E-5</v>
      </c>
      <c r="AC18" s="325"/>
      <c r="AF18" s="292">
        <v>9</v>
      </c>
      <c r="AG18" s="82" t="s">
        <v>104</v>
      </c>
      <c r="AH18" s="324">
        <v>0.53</v>
      </c>
      <c r="AI18" s="326">
        <v>2.4905359633393106E-5</v>
      </c>
      <c r="AJ18" s="327">
        <v>0.17</v>
      </c>
      <c r="AK18" s="294">
        <v>1.3750949106718424</v>
      </c>
      <c r="AL18" s="326">
        <v>6.7218249522002865E-5</v>
      </c>
      <c r="AM18" s="294">
        <v>0.4563930931445333</v>
      </c>
      <c r="AN18" s="324">
        <v>0.53</v>
      </c>
      <c r="AO18" s="326">
        <v>2.422883725352873E-5</v>
      </c>
      <c r="AP18" s="327">
        <v>0.17</v>
      </c>
      <c r="AQ18" s="294">
        <v>2.2984357569656573</v>
      </c>
      <c r="AR18" s="326">
        <v>9.8146916410398621E-5</v>
      </c>
      <c r="AS18" s="321">
        <v>0.6780617125895364</v>
      </c>
      <c r="AT18" s="86"/>
      <c r="AU18" s="368"/>
    </row>
    <row r="19" spans="2:47" ht="15.6">
      <c r="B19" s="292">
        <v>10</v>
      </c>
      <c r="C19" s="78" t="s">
        <v>103</v>
      </c>
      <c r="D19" s="298">
        <v>1.6</v>
      </c>
      <c r="E19" s="294">
        <v>1.56</v>
      </c>
      <c r="F19" s="289">
        <v>0.55688297236389461</v>
      </c>
      <c r="G19" s="295">
        <v>0</v>
      </c>
      <c r="H19" s="295">
        <v>0.55688297236389461</v>
      </c>
      <c r="I19" s="296">
        <v>-1.0431170276361055</v>
      </c>
      <c r="J19" s="285"/>
      <c r="K19" s="285"/>
      <c r="O19" s="292">
        <v>10</v>
      </c>
      <c r="P19" s="78" t="s">
        <v>103</v>
      </c>
      <c r="Q19" s="322">
        <v>0.95</v>
      </c>
      <c r="R19" s="326">
        <v>4.5904142486458267E-5</v>
      </c>
      <c r="S19" s="294">
        <v>1.3786810724538381</v>
      </c>
      <c r="T19" s="326">
        <v>6.4849200846867338E-5</v>
      </c>
      <c r="U19" s="327">
        <v>5</v>
      </c>
      <c r="V19" s="326">
        <v>2.3495622295653873E-4</v>
      </c>
      <c r="W19" s="294">
        <v>1.6778670681917882</v>
      </c>
      <c r="X19" s="326">
        <v>8.2018547504741671E-5</v>
      </c>
      <c r="Y19" s="327">
        <v>5</v>
      </c>
      <c r="Z19" s="326">
        <v>2.2857393635404463E-4</v>
      </c>
      <c r="AA19" s="294">
        <v>2.5976908170287145</v>
      </c>
      <c r="AB19" s="326">
        <v>1.1092559046138562E-4</v>
      </c>
      <c r="AC19" s="328"/>
      <c r="AF19" s="292">
        <v>10</v>
      </c>
      <c r="AG19" s="78" t="s">
        <v>103</v>
      </c>
      <c r="AH19" s="327">
        <v>5</v>
      </c>
      <c r="AI19" s="326">
        <v>2.3495622295653873E-4</v>
      </c>
      <c r="AJ19" s="327">
        <v>1.6</v>
      </c>
      <c r="AK19" s="294">
        <v>1.6778670681917882</v>
      </c>
      <c r="AL19" s="326">
        <v>8.2018547504741671E-5</v>
      </c>
      <c r="AM19" s="294">
        <v>0.55688297236389461</v>
      </c>
      <c r="AN19" s="327">
        <v>5</v>
      </c>
      <c r="AO19" s="326">
        <v>2.2857393635404463E-4</v>
      </c>
      <c r="AP19" s="327">
        <v>1.58</v>
      </c>
      <c r="AQ19" s="294">
        <v>2.5976908170287145</v>
      </c>
      <c r="AR19" s="326">
        <v>1.1092559046138562E-4</v>
      </c>
      <c r="AS19" s="321">
        <v>0.76634497128514723</v>
      </c>
      <c r="AT19" s="86"/>
      <c r="AU19" s="368"/>
    </row>
    <row r="20" spans="2:47" ht="15.6">
      <c r="B20" s="292">
        <v>11</v>
      </c>
      <c r="C20" s="78" t="s">
        <v>106</v>
      </c>
      <c r="D20" s="298">
        <v>0</v>
      </c>
      <c r="E20" s="294">
        <v>0</v>
      </c>
      <c r="F20" s="289">
        <v>1.8987116883454569</v>
      </c>
      <c r="G20" s="295">
        <v>0</v>
      </c>
      <c r="H20" s="295">
        <v>1.8987116883454569</v>
      </c>
      <c r="I20" s="296">
        <v>1.8987116883454569</v>
      </c>
      <c r="J20" s="285"/>
      <c r="K20" s="285"/>
      <c r="O20" s="292">
        <v>11</v>
      </c>
      <c r="P20" s="78" t="s">
        <v>106</v>
      </c>
      <c r="Q20" s="329">
        <v>0</v>
      </c>
      <c r="R20" s="326">
        <v>0</v>
      </c>
      <c r="S20" s="329">
        <v>0</v>
      </c>
      <c r="T20" s="326">
        <v>0</v>
      </c>
      <c r="U20" s="329">
        <v>0</v>
      </c>
      <c r="V20" s="326">
        <v>0</v>
      </c>
      <c r="W20" s="294">
        <v>5.7207455999999999</v>
      </c>
      <c r="X20" s="326">
        <v>2.7964506464853584E-4</v>
      </c>
      <c r="Y20" s="329">
        <v>0</v>
      </c>
      <c r="Z20" s="326">
        <v>0</v>
      </c>
      <c r="AA20" s="294">
        <v>5.8168961458333328</v>
      </c>
      <c r="AB20" s="326">
        <v>2.4839085367640514E-4</v>
      </c>
      <c r="AC20" s="328"/>
      <c r="AF20" s="292">
        <v>11</v>
      </c>
      <c r="AG20" s="78" t="s">
        <v>106</v>
      </c>
      <c r="AH20" s="327">
        <v>0</v>
      </c>
      <c r="AI20" s="326">
        <v>0</v>
      </c>
      <c r="AJ20" s="327">
        <v>0</v>
      </c>
      <c r="AK20" s="294">
        <v>5.7207455999999999</v>
      </c>
      <c r="AL20" s="326">
        <v>2.7964506464853584E-4</v>
      </c>
      <c r="AM20" s="294">
        <v>1.8987116883454569</v>
      </c>
      <c r="AN20" s="294">
        <v>0</v>
      </c>
      <c r="AO20" s="326">
        <v>0</v>
      </c>
      <c r="AP20" s="327">
        <v>0</v>
      </c>
      <c r="AQ20" s="294"/>
      <c r="AR20" s="326">
        <v>2.4839085367640514E-4</v>
      </c>
      <c r="AS20" s="321">
        <v>1.7160429873429597</v>
      </c>
      <c r="AT20" s="86"/>
      <c r="AU20" s="368"/>
    </row>
    <row r="21" spans="2:47" ht="15.6">
      <c r="B21" s="292">
        <v>12</v>
      </c>
      <c r="C21" s="78" t="s">
        <v>107</v>
      </c>
      <c r="D21" s="298">
        <v>0</v>
      </c>
      <c r="E21" s="294">
        <v>0</v>
      </c>
      <c r="F21" s="289">
        <v>0.69366962037990365</v>
      </c>
      <c r="G21" s="295">
        <v>0</v>
      </c>
      <c r="H21" s="295">
        <v>0.69366962037990365</v>
      </c>
      <c r="I21" s="296">
        <v>0.69366962037990365</v>
      </c>
      <c r="J21" s="285"/>
      <c r="K21" s="285"/>
      <c r="O21" s="292">
        <v>12</v>
      </c>
      <c r="P21" s="78" t="s">
        <v>107</v>
      </c>
      <c r="Q21" s="329">
        <v>0</v>
      </c>
      <c r="R21" s="326">
        <v>0</v>
      </c>
      <c r="S21" s="329">
        <v>0</v>
      </c>
      <c r="T21" s="326">
        <v>0</v>
      </c>
      <c r="U21" s="329">
        <v>0</v>
      </c>
      <c r="V21" s="326">
        <v>0</v>
      </c>
      <c r="W21" s="294">
        <v>2.09</v>
      </c>
      <c r="X21" s="326">
        <v>1.021646872595488E-4</v>
      </c>
      <c r="Y21" s="329">
        <v>0</v>
      </c>
      <c r="Z21" s="326">
        <v>0</v>
      </c>
      <c r="AA21" s="294">
        <v>2.4358333333333335</v>
      </c>
      <c r="AB21" s="326">
        <v>1.0401401467576518E-4</v>
      </c>
      <c r="AC21" s="328"/>
      <c r="AF21" s="292">
        <v>12</v>
      </c>
      <c r="AG21" s="78" t="s">
        <v>107</v>
      </c>
      <c r="AH21" s="327">
        <v>0</v>
      </c>
      <c r="AI21" s="326">
        <v>0</v>
      </c>
      <c r="AJ21" s="327">
        <v>0</v>
      </c>
      <c r="AK21" s="294">
        <v>2.09</v>
      </c>
      <c r="AL21" s="326">
        <v>1.021646872595488E-4</v>
      </c>
      <c r="AM21" s="294">
        <v>0.69366962037990365</v>
      </c>
      <c r="AN21" s="294">
        <v>0</v>
      </c>
      <c r="AO21" s="326">
        <v>0</v>
      </c>
      <c r="AP21" s="327">
        <v>0</v>
      </c>
      <c r="AQ21" s="294"/>
      <c r="AR21" s="326">
        <v>1.0401401467576518E-4</v>
      </c>
      <c r="AS21" s="321">
        <v>0.71859538234957843</v>
      </c>
      <c r="AT21" s="86"/>
      <c r="AU21" s="368"/>
    </row>
    <row r="22" spans="2:47" ht="15.6">
      <c r="B22" s="292">
        <v>13</v>
      </c>
      <c r="C22" s="81" t="s">
        <v>108</v>
      </c>
      <c r="D22" s="298">
        <v>0</v>
      </c>
      <c r="E22" s="294">
        <v>0</v>
      </c>
      <c r="F22" s="289">
        <v>0</v>
      </c>
      <c r="G22" s="295">
        <v>0</v>
      </c>
      <c r="H22" s="295">
        <v>0</v>
      </c>
      <c r="I22" s="296">
        <v>0</v>
      </c>
      <c r="J22" s="285"/>
      <c r="K22" s="285"/>
      <c r="O22" s="292">
        <v>13</v>
      </c>
      <c r="P22" s="81" t="s">
        <v>108</v>
      </c>
      <c r="Q22" s="329">
        <v>0</v>
      </c>
      <c r="R22" s="326">
        <v>0</v>
      </c>
      <c r="S22" s="329">
        <v>0</v>
      </c>
      <c r="T22" s="326">
        <v>0</v>
      </c>
      <c r="U22" s="329">
        <v>0</v>
      </c>
      <c r="V22" s="326">
        <v>0</v>
      </c>
      <c r="W22" s="294" t="s">
        <v>124</v>
      </c>
      <c r="X22" s="326">
        <v>0</v>
      </c>
      <c r="Y22" s="329">
        <v>0</v>
      </c>
      <c r="Z22" s="326">
        <v>0</v>
      </c>
      <c r="AA22" s="294">
        <v>0.41392499999999993</v>
      </c>
      <c r="AB22" s="326">
        <v>1.7675265559219745E-5</v>
      </c>
      <c r="AC22" s="328"/>
      <c r="AF22" s="292">
        <v>13</v>
      </c>
      <c r="AG22" s="81" t="s">
        <v>108</v>
      </c>
      <c r="AH22" s="327">
        <v>0</v>
      </c>
      <c r="AI22" s="326">
        <v>0</v>
      </c>
      <c r="AJ22" s="327">
        <v>0</v>
      </c>
      <c r="AK22" s="294" t="s">
        <v>124</v>
      </c>
      <c r="AL22" s="326">
        <v>0</v>
      </c>
      <c r="AM22" s="294">
        <v>0</v>
      </c>
      <c r="AN22" s="294">
        <v>0</v>
      </c>
      <c r="AO22" s="326">
        <v>0</v>
      </c>
      <c r="AP22" s="327">
        <v>0</v>
      </c>
      <c r="AQ22" s="294"/>
      <c r="AR22" s="326">
        <v>1.7675265559219745E-5</v>
      </c>
      <c r="AS22" s="321">
        <v>0.12211204665304791</v>
      </c>
      <c r="AT22" s="86"/>
      <c r="AU22" s="368"/>
    </row>
    <row r="23" spans="2:47" ht="15.6">
      <c r="B23" s="292">
        <v>14</v>
      </c>
      <c r="C23" s="81" t="s">
        <v>109</v>
      </c>
      <c r="D23" s="298">
        <v>0</v>
      </c>
      <c r="E23" s="294">
        <v>0</v>
      </c>
      <c r="F23" s="289">
        <v>0.18767954763147476</v>
      </c>
      <c r="G23" s="295">
        <v>0</v>
      </c>
      <c r="H23" s="295">
        <v>0.18767954763147476</v>
      </c>
      <c r="I23" s="296">
        <v>0.18767954763147476</v>
      </c>
      <c r="J23" s="285"/>
      <c r="K23" s="285"/>
      <c r="O23" s="292">
        <v>14</v>
      </c>
      <c r="P23" s="81" t="s">
        <v>109</v>
      </c>
      <c r="Q23" s="329">
        <v>0</v>
      </c>
      <c r="R23" s="326">
        <v>0</v>
      </c>
      <c r="S23" s="329">
        <v>0</v>
      </c>
      <c r="T23" s="326">
        <v>0</v>
      </c>
      <c r="U23" s="329">
        <v>0</v>
      </c>
      <c r="V23" s="326">
        <v>0</v>
      </c>
      <c r="W23" s="294">
        <v>0.56547128925000001</v>
      </c>
      <c r="X23" s="326">
        <v>2.7641721253818235E-5</v>
      </c>
      <c r="Y23" s="329">
        <v>0</v>
      </c>
      <c r="Z23" s="326">
        <v>0</v>
      </c>
      <c r="AA23" s="294">
        <v>0.57301027691666662</v>
      </c>
      <c r="AB23" s="326">
        <v>2.4468463641152692E-5</v>
      </c>
      <c r="AC23" s="328"/>
      <c r="AF23" s="292">
        <v>14</v>
      </c>
      <c r="AG23" s="81" t="s">
        <v>109</v>
      </c>
      <c r="AH23" s="327">
        <v>0</v>
      </c>
      <c r="AI23" s="326">
        <v>0</v>
      </c>
      <c r="AJ23" s="327">
        <v>0</v>
      </c>
      <c r="AK23" s="294">
        <v>0.56547128925000001</v>
      </c>
      <c r="AL23" s="326">
        <v>2.7641721253818235E-5</v>
      </c>
      <c r="AM23" s="294">
        <v>0.18767954763147476</v>
      </c>
      <c r="AN23" s="294">
        <v>0</v>
      </c>
      <c r="AO23" s="326">
        <v>0</v>
      </c>
      <c r="AP23" s="327">
        <v>0</v>
      </c>
      <c r="AQ23" s="294"/>
      <c r="AR23" s="326">
        <v>2.4468463641152692E-5</v>
      </c>
      <c r="AS23" s="321">
        <v>0.16904380664981314</v>
      </c>
      <c r="AT23" s="86"/>
      <c r="AU23" s="368"/>
    </row>
    <row r="24" spans="2:47" ht="16.149999999999999" thickBot="1">
      <c r="B24" s="299"/>
      <c r="C24" s="300" t="s">
        <v>191</v>
      </c>
      <c r="D24" s="301">
        <v>6789.8600000000006</v>
      </c>
      <c r="E24" s="301">
        <v>6789.7200000000012</v>
      </c>
      <c r="F24" s="301">
        <v>6789.72</v>
      </c>
      <c r="G24" s="301">
        <v>83.646182208249996</v>
      </c>
      <c r="H24" s="301">
        <v>6873.3661822082495</v>
      </c>
      <c r="I24" s="302">
        <v>83.506182208250095</v>
      </c>
      <c r="J24" s="285"/>
      <c r="K24" s="285"/>
      <c r="O24" s="299"/>
      <c r="P24" s="330" t="s">
        <v>165</v>
      </c>
      <c r="Q24" s="301">
        <v>20695.300000000003</v>
      </c>
      <c r="R24" s="331">
        <v>0.99999999999999978</v>
      </c>
      <c r="S24" s="301">
        <v>21259.800497918361</v>
      </c>
      <c r="T24" s="331">
        <v>1.0000000000000002</v>
      </c>
      <c r="U24" s="301">
        <v>21280.560000000001</v>
      </c>
      <c r="V24" s="331">
        <v>0.99999999999999989</v>
      </c>
      <c r="W24" s="301">
        <v>20457.166326857801</v>
      </c>
      <c r="X24" s="331">
        <v>1</v>
      </c>
      <c r="Y24" s="301">
        <v>21874.759999999995</v>
      </c>
      <c r="Z24" s="331">
        <v>1</v>
      </c>
      <c r="AA24" s="301">
        <v>23418.318588378381</v>
      </c>
      <c r="AB24" s="331">
        <v>0.99999999999999978</v>
      </c>
      <c r="AC24" s="332"/>
      <c r="AF24" s="299"/>
      <c r="AG24" s="300" t="s">
        <v>191</v>
      </c>
      <c r="AH24" s="301">
        <v>21280.560000000001</v>
      </c>
      <c r="AI24" s="331">
        <v>0.99999999999999989</v>
      </c>
      <c r="AJ24" s="301">
        <v>6790.8400000000011</v>
      </c>
      <c r="AK24" s="301">
        <v>20457.166326857801</v>
      </c>
      <c r="AL24" s="331">
        <v>1</v>
      </c>
      <c r="AM24" s="301">
        <v>6789.72</v>
      </c>
      <c r="AN24" s="301">
        <v>21874.759999999995</v>
      </c>
      <c r="AO24" s="331">
        <v>1</v>
      </c>
      <c r="AP24" s="301">
        <v>6908.0599999999995</v>
      </c>
      <c r="AQ24" s="301">
        <f>SUM(AQ10:AQ23)</f>
        <v>23409.078923622299</v>
      </c>
      <c r="AR24" s="331">
        <v>0.99999999999999978</v>
      </c>
      <c r="AS24" s="302">
        <v>6908.64</v>
      </c>
      <c r="AT24" s="9"/>
    </row>
    <row r="25" spans="2:47" ht="15.6">
      <c r="B25" s="303" t="s">
        <v>282</v>
      </c>
      <c r="C25" s="304"/>
      <c r="D25" s="285"/>
      <c r="E25" s="285"/>
      <c r="F25" s="285"/>
      <c r="G25" s="285"/>
      <c r="H25" s="285"/>
      <c r="I25" s="285"/>
      <c r="J25" s="285"/>
      <c r="K25" s="285"/>
      <c r="O25" s="280"/>
      <c r="P25" s="280"/>
      <c r="Q25" s="280"/>
      <c r="R25" s="280"/>
      <c r="S25" s="280"/>
      <c r="T25" s="280"/>
      <c r="U25" s="280"/>
      <c r="V25" s="280"/>
      <c r="W25" s="280"/>
      <c r="X25" s="280"/>
      <c r="Y25" s="280"/>
      <c r="Z25" s="280"/>
      <c r="AA25" s="280"/>
      <c r="AB25" s="280"/>
      <c r="AC25" s="280"/>
      <c r="AF25" s="303" t="s">
        <v>283</v>
      </c>
      <c r="AG25" s="9"/>
      <c r="AH25" s="9"/>
      <c r="AI25" s="9"/>
      <c r="AJ25" s="9"/>
      <c r="AK25" s="9"/>
      <c r="AL25" s="9"/>
      <c r="AM25" s="9"/>
      <c r="AN25" s="9"/>
      <c r="AO25" s="9"/>
      <c r="AP25" s="9"/>
      <c r="AQ25" s="9"/>
      <c r="AR25" s="9"/>
      <c r="AS25" s="9"/>
      <c r="AT25" s="9"/>
    </row>
    <row r="26" spans="2:47" ht="14.45" thickBot="1">
      <c r="B26" s="305"/>
      <c r="C26" s="304"/>
      <c r="D26" s="285"/>
      <c r="E26" s="285"/>
      <c r="F26" s="285"/>
      <c r="G26" s="285"/>
      <c r="H26" s="285"/>
      <c r="I26" s="285"/>
      <c r="J26" s="285"/>
      <c r="K26" s="285"/>
      <c r="O26" s="280"/>
      <c r="P26" s="280"/>
      <c r="Q26" s="280"/>
      <c r="R26" s="280"/>
      <c r="S26" s="280"/>
      <c r="T26" s="280"/>
      <c r="U26" s="280"/>
      <c r="V26" s="280"/>
      <c r="W26" s="280"/>
      <c r="X26" s="280"/>
      <c r="Y26" s="280"/>
      <c r="Z26" s="280"/>
      <c r="AA26" s="280"/>
      <c r="AB26" s="280"/>
      <c r="AC26" s="280"/>
      <c r="AF26" s="9"/>
      <c r="AG26" s="9"/>
      <c r="AH26" s="9"/>
      <c r="AI26" s="9"/>
      <c r="AJ26" s="9"/>
      <c r="AK26" s="9"/>
      <c r="AL26" s="9"/>
      <c r="AM26" s="9"/>
      <c r="AN26" s="9"/>
      <c r="AO26" s="9"/>
      <c r="AP26" s="9"/>
      <c r="AQ26" s="9"/>
      <c r="AR26" s="9"/>
      <c r="AS26" s="9"/>
      <c r="AT26" s="9"/>
    </row>
    <row r="27" spans="2:47" ht="14.45" thickBot="1">
      <c r="B27" s="305"/>
      <c r="C27" s="304"/>
      <c r="D27" s="285"/>
      <c r="E27" s="285"/>
      <c r="F27" s="285"/>
      <c r="G27" s="285"/>
      <c r="H27" s="285"/>
      <c r="I27" s="86" t="s">
        <v>21</v>
      </c>
      <c r="J27" s="285"/>
      <c r="K27" s="285"/>
      <c r="O27" s="450" t="s">
        <v>2</v>
      </c>
      <c r="P27" s="455" t="s">
        <v>82</v>
      </c>
      <c r="Q27" s="444" t="s">
        <v>51</v>
      </c>
      <c r="R27" s="444"/>
      <c r="S27" s="444"/>
      <c r="T27" s="444"/>
      <c r="U27" s="444" t="s">
        <v>52</v>
      </c>
      <c r="V27" s="444"/>
      <c r="W27" s="444"/>
      <c r="X27" s="444"/>
      <c r="Y27" s="444" t="s">
        <v>53</v>
      </c>
      <c r="Z27" s="444"/>
      <c r="AA27" s="444"/>
      <c r="AB27" s="444"/>
      <c r="AC27" s="458" t="s">
        <v>25</v>
      </c>
      <c r="AF27" s="450" t="s">
        <v>2</v>
      </c>
      <c r="AG27" s="455" t="s">
        <v>82</v>
      </c>
      <c r="AH27" s="447" t="s">
        <v>52</v>
      </c>
      <c r="AI27" s="448"/>
      <c r="AJ27" s="448"/>
      <c r="AK27" s="448"/>
      <c r="AL27" s="448"/>
      <c r="AM27" s="453"/>
      <c r="AN27" s="447" t="s">
        <v>53</v>
      </c>
      <c r="AO27" s="448"/>
      <c r="AP27" s="448"/>
      <c r="AQ27" s="448"/>
      <c r="AR27" s="448"/>
      <c r="AS27" s="449"/>
      <c r="AT27" s="9"/>
    </row>
    <row r="28" spans="2:47" ht="13.9">
      <c r="B28" s="441" t="s">
        <v>2</v>
      </c>
      <c r="C28" s="444" t="s">
        <v>82</v>
      </c>
      <c r="D28" s="447" t="s">
        <v>119</v>
      </c>
      <c r="E28" s="448"/>
      <c r="F28" s="448"/>
      <c r="G28" s="448"/>
      <c r="H28" s="448"/>
      <c r="I28" s="449"/>
      <c r="J28" s="285"/>
      <c r="K28" s="285"/>
      <c r="O28" s="451"/>
      <c r="P28" s="456"/>
      <c r="Q28" s="445" t="s">
        <v>170</v>
      </c>
      <c r="R28" s="445"/>
      <c r="S28" s="445" t="s">
        <v>171</v>
      </c>
      <c r="T28" s="445"/>
      <c r="U28" s="445" t="s">
        <v>170</v>
      </c>
      <c r="V28" s="445"/>
      <c r="W28" s="445" t="s">
        <v>284</v>
      </c>
      <c r="X28" s="445"/>
      <c r="Y28" s="445" t="s">
        <v>170</v>
      </c>
      <c r="Z28" s="445"/>
      <c r="AA28" s="445" t="s">
        <v>284</v>
      </c>
      <c r="AB28" s="445"/>
      <c r="AC28" s="454"/>
      <c r="AF28" s="451"/>
      <c r="AG28" s="456"/>
      <c r="AH28" s="462" t="s">
        <v>231</v>
      </c>
      <c r="AI28" s="463"/>
      <c r="AJ28" s="464"/>
      <c r="AK28" s="462" t="s">
        <v>285</v>
      </c>
      <c r="AL28" s="463"/>
      <c r="AM28" s="464"/>
      <c r="AN28" s="462" t="s">
        <v>231</v>
      </c>
      <c r="AO28" s="463"/>
      <c r="AP28" s="464"/>
      <c r="AQ28" s="462" t="s">
        <v>285</v>
      </c>
      <c r="AR28" s="463"/>
      <c r="AS28" s="465"/>
      <c r="AT28" s="9"/>
    </row>
    <row r="29" spans="2:47" ht="42" thickBot="1">
      <c r="B29" s="442"/>
      <c r="C29" s="445"/>
      <c r="D29" s="182" t="s">
        <v>231</v>
      </c>
      <c r="E29" s="182" t="s">
        <v>275</v>
      </c>
      <c r="F29" s="182" t="s">
        <v>276</v>
      </c>
      <c r="G29" s="182" t="s">
        <v>277</v>
      </c>
      <c r="H29" s="182" t="s">
        <v>278</v>
      </c>
      <c r="I29" s="281" t="s">
        <v>200</v>
      </c>
      <c r="J29" s="285"/>
      <c r="K29" s="285"/>
      <c r="O29" s="452"/>
      <c r="P29" s="457"/>
      <c r="Q29" s="282" t="s">
        <v>163</v>
      </c>
      <c r="R29" s="282" t="s">
        <v>164</v>
      </c>
      <c r="S29" s="282" t="s">
        <v>163</v>
      </c>
      <c r="T29" s="282" t="s">
        <v>164</v>
      </c>
      <c r="U29" s="282" t="s">
        <v>163</v>
      </c>
      <c r="V29" s="282" t="s">
        <v>164</v>
      </c>
      <c r="W29" s="282" t="s">
        <v>163</v>
      </c>
      <c r="X29" s="282" t="s">
        <v>164</v>
      </c>
      <c r="Y29" s="282" t="s">
        <v>163</v>
      </c>
      <c r="Z29" s="282" t="s">
        <v>164</v>
      </c>
      <c r="AA29" s="282" t="s">
        <v>163</v>
      </c>
      <c r="AB29" s="282" t="s">
        <v>164</v>
      </c>
      <c r="AC29" s="459"/>
      <c r="AF29" s="460"/>
      <c r="AG29" s="461"/>
      <c r="AH29" s="282" t="s">
        <v>188</v>
      </c>
      <c r="AI29" s="282" t="s">
        <v>189</v>
      </c>
      <c r="AJ29" s="282" t="s">
        <v>190</v>
      </c>
      <c r="AK29" s="282" t="s">
        <v>188</v>
      </c>
      <c r="AL29" s="282" t="s">
        <v>189</v>
      </c>
      <c r="AM29" s="282" t="s">
        <v>190</v>
      </c>
      <c r="AN29" s="282" t="s">
        <v>188</v>
      </c>
      <c r="AO29" s="282" t="s">
        <v>189</v>
      </c>
      <c r="AP29" s="282" t="s">
        <v>190</v>
      </c>
      <c r="AQ29" s="282" t="s">
        <v>188</v>
      </c>
      <c r="AR29" s="282" t="s">
        <v>189</v>
      </c>
      <c r="AS29" s="284" t="s">
        <v>190</v>
      </c>
      <c r="AT29" s="9"/>
    </row>
    <row r="30" spans="2:47" ht="16.149999999999999" thickBot="1">
      <c r="B30" s="443"/>
      <c r="C30" s="446"/>
      <c r="D30" s="282" t="s">
        <v>201</v>
      </c>
      <c r="E30" s="282" t="s">
        <v>202</v>
      </c>
      <c r="F30" s="283" t="s">
        <v>279</v>
      </c>
      <c r="G30" s="282" t="s">
        <v>204</v>
      </c>
      <c r="H30" s="282" t="s">
        <v>280</v>
      </c>
      <c r="I30" s="284" t="s">
        <v>281</v>
      </c>
      <c r="J30" s="285"/>
      <c r="K30" s="285"/>
      <c r="O30" s="286">
        <v>1</v>
      </c>
      <c r="P30" s="287" t="s">
        <v>96</v>
      </c>
      <c r="Q30" s="316">
        <v>18858.34</v>
      </c>
      <c r="R30" s="317">
        <v>0.83855915208248666</v>
      </c>
      <c r="S30" s="333">
        <v>24432</v>
      </c>
      <c r="T30" s="334">
        <v>0.85521813628113819</v>
      </c>
      <c r="U30" s="316">
        <v>19424.14</v>
      </c>
      <c r="V30" s="334">
        <v>0.84021751025932612</v>
      </c>
      <c r="W30" s="335">
        <v>25617</v>
      </c>
      <c r="X30" s="334">
        <v>0.85768783537696991</v>
      </c>
      <c r="Y30" s="316">
        <v>20006.900000000001</v>
      </c>
      <c r="Z30" s="317">
        <v>0.84185345861402983</v>
      </c>
      <c r="AA30" s="316">
        <v>26860</v>
      </c>
      <c r="AB30" s="334">
        <v>0.86044129169984884</v>
      </c>
      <c r="AC30" s="318"/>
      <c r="AF30" s="286">
        <v>1</v>
      </c>
      <c r="AG30" s="287" t="s">
        <v>96</v>
      </c>
      <c r="AH30" s="316">
        <v>19424.14</v>
      </c>
      <c r="AI30" s="356">
        <v>0.84021751025932612</v>
      </c>
      <c r="AJ30" s="289">
        <v>5977.9459332926435</v>
      </c>
      <c r="AK30" s="289">
        <v>25617</v>
      </c>
      <c r="AL30" s="358">
        <v>0.85768783537696991</v>
      </c>
      <c r="AM30" s="289">
        <v>11004.984038843548</v>
      </c>
      <c r="AN30" s="316">
        <v>20006.900000000001</v>
      </c>
      <c r="AO30" s="356">
        <v>0.84185345861402983</v>
      </c>
      <c r="AP30" s="289">
        <v>6004.2335633886396</v>
      </c>
      <c r="AQ30" s="289">
        <v>26860</v>
      </c>
      <c r="AR30" s="358">
        <v>0.86044129169984884</v>
      </c>
      <c r="AS30" s="318">
        <v>9371.8491094785022</v>
      </c>
      <c r="AT30" s="9"/>
    </row>
    <row r="31" spans="2:47" ht="15.6">
      <c r="B31" s="286">
        <v>1</v>
      </c>
      <c r="C31" s="287" t="s">
        <v>96</v>
      </c>
      <c r="D31" s="288">
        <v>5782.39</v>
      </c>
      <c r="E31" s="306">
        <v>5782.44</v>
      </c>
      <c r="F31" s="289">
        <v>5970.0676562508124</v>
      </c>
      <c r="G31" s="290">
        <v>84.988988199999994</v>
      </c>
      <c r="H31" s="290">
        <v>6055.0566444508122</v>
      </c>
      <c r="I31" s="291">
        <v>272.66664445081187</v>
      </c>
      <c r="J31" s="285"/>
      <c r="K31" s="285"/>
      <c r="O31" s="292">
        <v>2</v>
      </c>
      <c r="P31" s="78" t="s">
        <v>97</v>
      </c>
      <c r="Q31" s="319">
        <v>830.26</v>
      </c>
      <c r="R31" s="320">
        <v>3.6918526318223413E-2</v>
      </c>
      <c r="S31" s="336">
        <v>940</v>
      </c>
      <c r="T31" s="337">
        <v>3.2903775708262521E-2</v>
      </c>
      <c r="U31" s="319">
        <v>841.24</v>
      </c>
      <c r="V31" s="337">
        <v>3.6388976723322398E-2</v>
      </c>
      <c r="W31" s="319">
        <v>965</v>
      </c>
      <c r="X31" s="337">
        <v>3.2309355550563142E-2</v>
      </c>
      <c r="Y31" s="319">
        <v>852.38</v>
      </c>
      <c r="Z31" s="320">
        <v>3.586657858306018E-2</v>
      </c>
      <c r="AA31" s="316">
        <v>1000</v>
      </c>
      <c r="AB31" s="337">
        <v>3.2034299765444856E-2</v>
      </c>
      <c r="AC31" s="321"/>
      <c r="AF31" s="292">
        <v>2</v>
      </c>
      <c r="AG31" s="78" t="s">
        <v>97</v>
      </c>
      <c r="AH31" s="319">
        <v>841.24</v>
      </c>
      <c r="AI31" s="326">
        <v>3.6388976723322398E-2</v>
      </c>
      <c r="AJ31" s="294">
        <v>258.89883603202526</v>
      </c>
      <c r="AK31" s="294">
        <v>965</v>
      </c>
      <c r="AL31" s="359">
        <v>3.2309355550563142E-2</v>
      </c>
      <c r="AM31" s="294">
        <v>414.56101797572018</v>
      </c>
      <c r="AN31" s="319">
        <v>852.38</v>
      </c>
      <c r="AO31" s="326">
        <v>3.586657858306018E-2</v>
      </c>
      <c r="AP31" s="289">
        <v>255.80617710695853</v>
      </c>
      <c r="AQ31" s="294">
        <v>1000</v>
      </c>
      <c r="AR31" s="359">
        <v>3.2034299765444856E-2</v>
      </c>
      <c r="AS31" s="321">
        <v>348.91470995824653</v>
      </c>
      <c r="AT31" s="9"/>
    </row>
    <row r="32" spans="2:47" ht="15.6">
      <c r="B32" s="292">
        <v>2</v>
      </c>
      <c r="C32" s="78" t="s">
        <v>97</v>
      </c>
      <c r="D32" s="293">
        <v>258.79000000000002</v>
      </c>
      <c r="E32" s="307">
        <v>258.83999999999997</v>
      </c>
      <c r="F32" s="294">
        <v>219.16978648164627</v>
      </c>
      <c r="G32" s="297">
        <v>1.9870771434957652E-2</v>
      </c>
      <c r="H32" s="295">
        <v>219.18965725308124</v>
      </c>
      <c r="I32" s="296">
        <v>-39.600342746918784</v>
      </c>
      <c r="J32" s="285"/>
      <c r="K32" s="285"/>
      <c r="O32" s="292">
        <v>3</v>
      </c>
      <c r="P32" s="78" t="s">
        <v>98</v>
      </c>
      <c r="Q32" s="324">
        <v>1544.7</v>
      </c>
      <c r="R32" s="323">
        <v>6.8686974687157898E-2</v>
      </c>
      <c r="S32" s="338">
        <v>1828</v>
      </c>
      <c r="T32" s="339">
        <v>6.3987342547557335E-2</v>
      </c>
      <c r="U32" s="324">
        <v>1576.88</v>
      </c>
      <c r="V32" s="339">
        <v>6.8210082277914294E-2</v>
      </c>
      <c r="W32" s="322">
        <v>1856</v>
      </c>
      <c r="X32" s="337">
        <v>6.2141102488958738E-2</v>
      </c>
      <c r="Y32" s="324">
        <v>1609.73</v>
      </c>
      <c r="Z32" s="323">
        <v>6.7734470004586517E-2</v>
      </c>
      <c r="AA32" s="316">
        <v>1885</v>
      </c>
      <c r="AB32" s="337">
        <v>6.0384655057863557E-2</v>
      </c>
      <c r="AC32" s="321"/>
      <c r="AF32" s="292">
        <v>3</v>
      </c>
      <c r="AG32" s="78" t="s">
        <v>98</v>
      </c>
      <c r="AH32" s="324">
        <v>1576.88</v>
      </c>
      <c r="AI32" s="326">
        <v>6.8210082277914294E-2</v>
      </c>
      <c r="AJ32" s="294">
        <v>485.29836498761352</v>
      </c>
      <c r="AK32" s="294">
        <v>1856</v>
      </c>
      <c r="AL32" s="359">
        <v>6.2141102488958738E-2</v>
      </c>
      <c r="AM32" s="294">
        <v>797.33186462480467</v>
      </c>
      <c r="AN32" s="324">
        <v>1609.73</v>
      </c>
      <c r="AO32" s="326">
        <v>6.7734470004586517E-2</v>
      </c>
      <c r="AP32" s="289">
        <v>483.09307758791181</v>
      </c>
      <c r="AQ32" s="294">
        <v>1885</v>
      </c>
      <c r="AR32" s="359">
        <v>6.0384655057863557E-2</v>
      </c>
      <c r="AS32" s="321">
        <v>657.70422827129471</v>
      </c>
      <c r="AT32" s="9"/>
    </row>
    <row r="33" spans="2:46" ht="15.6">
      <c r="B33" s="292">
        <v>3</v>
      </c>
      <c r="C33" s="78" t="s">
        <v>98</v>
      </c>
      <c r="D33" s="293">
        <v>477.9</v>
      </c>
      <c r="E33" s="307">
        <v>477.84</v>
      </c>
      <c r="F33" s="294">
        <v>397.30074171046022</v>
      </c>
      <c r="G33" s="297">
        <v>2.4079491609542945E-3</v>
      </c>
      <c r="H33" s="295">
        <v>397.30314965962117</v>
      </c>
      <c r="I33" s="296">
        <v>-80.596850340378808</v>
      </c>
      <c r="J33" s="285"/>
      <c r="K33" s="285"/>
      <c r="O33" s="292">
        <v>4</v>
      </c>
      <c r="P33" s="78" t="s">
        <v>99</v>
      </c>
      <c r="Q33" s="324">
        <v>822.52</v>
      </c>
      <c r="R33" s="323">
        <v>3.6574357752107919E-2</v>
      </c>
      <c r="S33" s="338">
        <v>905</v>
      </c>
      <c r="T33" s="339">
        <v>3.1678635123380407E-2</v>
      </c>
      <c r="U33" s="324">
        <v>828.27</v>
      </c>
      <c r="V33" s="339">
        <v>3.5827941789056919E-2</v>
      </c>
      <c r="W33" s="322">
        <v>923</v>
      </c>
      <c r="X33" s="337">
        <v>3.0903145257170753E-2</v>
      </c>
      <c r="Y33" s="324">
        <v>834.06</v>
      </c>
      <c r="Z33" s="323">
        <v>3.50957067657467E-2</v>
      </c>
      <c r="AA33" s="316">
        <v>942</v>
      </c>
      <c r="AB33" s="337">
        <v>3.0176310379049054E-2</v>
      </c>
      <c r="AC33" s="321"/>
      <c r="AF33" s="292">
        <v>4</v>
      </c>
      <c r="AG33" s="78" t="s">
        <v>99</v>
      </c>
      <c r="AH33" s="324">
        <v>828.27</v>
      </c>
      <c r="AI33" s="326">
        <v>3.5827941789056919E-2</v>
      </c>
      <c r="AJ33" s="294">
        <v>254.90720712311062</v>
      </c>
      <c r="AK33" s="294">
        <v>923</v>
      </c>
      <c r="AL33" s="359">
        <v>3.0903145257170753E-2</v>
      </c>
      <c r="AM33" s="294">
        <v>396.51794776330536</v>
      </c>
      <c r="AN33" s="324">
        <v>834.06</v>
      </c>
      <c r="AO33" s="326">
        <v>3.50957067657467E-2</v>
      </c>
      <c r="AP33" s="289">
        <v>250.30819596638801</v>
      </c>
      <c r="AQ33" s="294">
        <v>942</v>
      </c>
      <c r="AR33" s="359">
        <v>3.0176310379049054E-2</v>
      </c>
      <c r="AS33" s="321">
        <v>328.67765678066826</v>
      </c>
      <c r="AT33" s="9"/>
    </row>
    <row r="34" spans="2:46" ht="15.6">
      <c r="B34" s="292">
        <v>4</v>
      </c>
      <c r="C34" s="78" t="s">
        <v>99</v>
      </c>
      <c r="D34" s="293">
        <v>257.95999999999998</v>
      </c>
      <c r="E34" s="307">
        <v>258</v>
      </c>
      <c r="F34" s="294">
        <v>206.06309166256764</v>
      </c>
      <c r="G34" s="297">
        <v>0</v>
      </c>
      <c r="H34" s="295">
        <v>206.06309166256764</v>
      </c>
      <c r="I34" s="296">
        <v>-51.896908337432336</v>
      </c>
      <c r="J34" s="285"/>
      <c r="K34" s="285"/>
      <c r="O34" s="292">
        <v>5</v>
      </c>
      <c r="P34" s="78" t="s">
        <v>100</v>
      </c>
      <c r="Q34" s="324">
        <v>387.97</v>
      </c>
      <c r="R34" s="323">
        <v>1.725156054209662E-2</v>
      </c>
      <c r="S34" s="338">
        <v>407.3</v>
      </c>
      <c r="T34" s="339">
        <v>1.4257136006356729E-2</v>
      </c>
      <c r="U34" s="324">
        <v>401.4</v>
      </c>
      <c r="V34" s="339">
        <v>1.7363101203867633E-2</v>
      </c>
      <c r="W34" s="319">
        <v>419.21</v>
      </c>
      <c r="X34" s="337">
        <v>1.4035652787929091E-2</v>
      </c>
      <c r="Y34" s="324">
        <v>415.28</v>
      </c>
      <c r="Z34" s="323">
        <v>1.7474216609931287E-2</v>
      </c>
      <c r="AA34" s="316">
        <v>427.59</v>
      </c>
      <c r="AB34" s="337">
        <v>1.3697546236706565E-2</v>
      </c>
      <c r="AC34" s="321"/>
      <c r="AF34" s="292">
        <v>5</v>
      </c>
      <c r="AG34" s="78" t="s">
        <v>100</v>
      </c>
      <c r="AH34" s="324">
        <v>401.4</v>
      </c>
      <c r="AI34" s="326">
        <v>1.7363101203867633E-2</v>
      </c>
      <c r="AJ34" s="294">
        <v>123.53429792122928</v>
      </c>
      <c r="AK34" s="294">
        <v>419.21</v>
      </c>
      <c r="AL34" s="359">
        <v>1.4035652787929091E-2</v>
      </c>
      <c r="AM34" s="294">
        <v>180.09132056539028</v>
      </c>
      <c r="AN34" s="324">
        <v>415.28</v>
      </c>
      <c r="AO34" s="326">
        <v>1.7474216609931287E-2</v>
      </c>
      <c r="AP34" s="289">
        <v>124.62890873668753</v>
      </c>
      <c r="AQ34" s="294">
        <v>427.59</v>
      </c>
      <c r="AR34" s="359">
        <v>1.3697546236706565E-2</v>
      </c>
      <c r="AS34" s="321">
        <v>149.19244083104664</v>
      </c>
      <c r="AT34" s="9"/>
    </row>
    <row r="35" spans="2:46" ht="15.6">
      <c r="B35" s="292">
        <v>5</v>
      </c>
      <c r="C35" s="78" t="s">
        <v>100</v>
      </c>
      <c r="D35" s="293">
        <v>118.43</v>
      </c>
      <c r="E35" s="307">
        <v>118.44</v>
      </c>
      <c r="F35" s="294">
        <v>105.53985550553335</v>
      </c>
      <c r="G35" s="297">
        <v>5.6526800000000002E-2</v>
      </c>
      <c r="H35" s="295">
        <v>105.59638230553335</v>
      </c>
      <c r="I35" s="296">
        <v>-12.833617694466653</v>
      </c>
      <c r="J35" s="285"/>
      <c r="K35" s="285"/>
      <c r="O35" s="292">
        <v>6</v>
      </c>
      <c r="P35" s="78" t="s">
        <v>101</v>
      </c>
      <c r="Q35" s="324">
        <v>15.8</v>
      </c>
      <c r="R35" s="323">
        <v>7.0256632359493411E-4</v>
      </c>
      <c r="S35" s="338">
        <v>12</v>
      </c>
      <c r="T35" s="339">
        <v>4.2004820053101092E-4</v>
      </c>
      <c r="U35" s="324">
        <v>15.8</v>
      </c>
      <c r="V35" s="339">
        <v>6.8345042107899518E-4</v>
      </c>
      <c r="W35" s="322">
        <v>13</v>
      </c>
      <c r="X35" s="337">
        <v>4.3525556700240499E-4</v>
      </c>
      <c r="Y35" s="324">
        <v>15.8</v>
      </c>
      <c r="Z35" s="323">
        <v>6.6483486427690796E-4</v>
      </c>
      <c r="AA35" s="316">
        <v>14</v>
      </c>
      <c r="AB35" s="337">
        <v>4.4848019671622801E-4</v>
      </c>
      <c r="AC35" s="321"/>
      <c r="AF35" s="292">
        <v>6</v>
      </c>
      <c r="AG35" s="78" t="s">
        <v>101</v>
      </c>
      <c r="AH35" s="324">
        <v>15.8</v>
      </c>
      <c r="AI35" s="326">
        <v>6.8345042107899518E-4</v>
      </c>
      <c r="AJ35" s="294">
        <v>4.8625857178759917</v>
      </c>
      <c r="AK35" s="294">
        <v>13</v>
      </c>
      <c r="AL35" s="359">
        <v>4.3525556700240499E-4</v>
      </c>
      <c r="AM35" s="294">
        <v>5.5847598276521886</v>
      </c>
      <c r="AN35" s="324">
        <v>15.8</v>
      </c>
      <c r="AO35" s="326">
        <v>6.6483486427690796E-4</v>
      </c>
      <c r="AP35" s="289">
        <v>4.7417086256011922</v>
      </c>
      <c r="AQ35" s="294">
        <v>14</v>
      </c>
      <c r="AR35" s="359">
        <v>4.4848019671622801E-4</v>
      </c>
      <c r="AS35" s="321">
        <v>4.8848059394154522</v>
      </c>
      <c r="AT35" s="9"/>
    </row>
    <row r="36" spans="2:46" ht="15.6">
      <c r="B36" s="292">
        <v>6</v>
      </c>
      <c r="C36" s="78" t="s">
        <v>101</v>
      </c>
      <c r="D36" s="293">
        <v>4.99</v>
      </c>
      <c r="E36" s="307">
        <v>5.04</v>
      </c>
      <c r="F36" s="294">
        <v>2.0086961275490602</v>
      </c>
      <c r="G36" s="297">
        <v>0</v>
      </c>
      <c r="H36" s="295">
        <v>2.0086961275490602</v>
      </c>
      <c r="I36" s="296">
        <v>-2.98130387245094</v>
      </c>
      <c r="J36" s="285"/>
      <c r="K36" s="285"/>
      <c r="O36" s="292">
        <v>7</v>
      </c>
      <c r="P36" s="78" t="s">
        <v>102</v>
      </c>
      <c r="Q36" s="324">
        <v>8</v>
      </c>
      <c r="R36" s="323">
        <v>3.5572978409870079E-4</v>
      </c>
      <c r="S36" s="338">
        <v>5.5</v>
      </c>
      <c r="T36" s="339">
        <v>1.9252209191004667E-4</v>
      </c>
      <c r="U36" s="324">
        <v>8</v>
      </c>
      <c r="V36" s="339">
        <v>3.4605084611594693E-4</v>
      </c>
      <c r="W36" s="322">
        <v>5.5</v>
      </c>
      <c r="X36" s="337">
        <v>1.8414658603947904E-4</v>
      </c>
      <c r="Y36" s="324">
        <v>8</v>
      </c>
      <c r="Z36" s="323">
        <v>3.3662524773514328E-4</v>
      </c>
      <c r="AA36" s="316">
        <v>5.5</v>
      </c>
      <c r="AB36" s="337">
        <v>1.7618864870994671E-4</v>
      </c>
      <c r="AC36" s="325"/>
      <c r="AF36" s="292">
        <v>7</v>
      </c>
      <c r="AG36" s="78" t="s">
        <v>102</v>
      </c>
      <c r="AH36" s="324">
        <v>8</v>
      </c>
      <c r="AI36" s="326">
        <v>3.4605084611594693E-4</v>
      </c>
      <c r="AJ36" s="294">
        <v>2.4620687179118947</v>
      </c>
      <c r="AK36" s="294">
        <v>5.5</v>
      </c>
      <c r="AL36" s="359">
        <v>1.8414658603947904E-4</v>
      </c>
      <c r="AM36" s="294">
        <v>2.3627830040066953</v>
      </c>
      <c r="AN36" s="324">
        <v>8</v>
      </c>
      <c r="AO36" s="326">
        <v>3.3662524773514328E-4</v>
      </c>
      <c r="AP36" s="289">
        <v>2.4008651268866799</v>
      </c>
      <c r="AQ36" s="294">
        <v>5.5</v>
      </c>
      <c r="AR36" s="359">
        <v>1.7618864870994671E-4</v>
      </c>
      <c r="AS36" s="321">
        <v>1.919030904770356</v>
      </c>
      <c r="AT36" s="9"/>
    </row>
    <row r="37" spans="2:46" ht="15.6">
      <c r="B37" s="292">
        <v>7</v>
      </c>
      <c r="C37" s="78" t="s">
        <v>102</v>
      </c>
      <c r="D37" s="293">
        <v>2.5299999999999998</v>
      </c>
      <c r="E37" s="307">
        <v>2.52</v>
      </c>
      <c r="F37" s="294">
        <v>1.0562127957767344</v>
      </c>
      <c r="G37" s="297">
        <v>0</v>
      </c>
      <c r="H37" s="295">
        <v>1.0562127957767344</v>
      </c>
      <c r="I37" s="296">
        <v>-1.4737872042232654</v>
      </c>
      <c r="J37" s="285"/>
      <c r="K37" s="285"/>
      <c r="O37" s="292">
        <v>8</v>
      </c>
      <c r="P37" s="82" t="s">
        <v>105</v>
      </c>
      <c r="Q37" s="324">
        <v>12.36</v>
      </c>
      <c r="R37" s="323">
        <v>5.4960251643249274E-4</v>
      </c>
      <c r="S37" s="338">
        <v>14</v>
      </c>
      <c r="T37" s="339">
        <v>4.9005623395284603E-4</v>
      </c>
      <c r="U37" s="324">
        <v>12.73</v>
      </c>
      <c r="V37" s="339">
        <v>5.5065340888200054E-4</v>
      </c>
      <c r="W37" s="322">
        <v>15</v>
      </c>
      <c r="X37" s="337">
        <v>5.0221796192585191E-4</v>
      </c>
      <c r="Y37" s="324">
        <v>13.12</v>
      </c>
      <c r="Z37" s="323">
        <v>5.5206540628563493E-4</v>
      </c>
      <c r="AA37" s="316">
        <v>16</v>
      </c>
      <c r="AB37" s="337">
        <v>5.1254879624711765E-4</v>
      </c>
      <c r="AC37" s="325"/>
      <c r="AF37" s="292">
        <v>8</v>
      </c>
      <c r="AG37" s="82" t="s">
        <v>105</v>
      </c>
      <c r="AH37" s="324">
        <v>12.73</v>
      </c>
      <c r="AI37" s="326">
        <v>5.5065340888200054E-4</v>
      </c>
      <c r="AJ37" s="294">
        <v>3.9177668473773024</v>
      </c>
      <c r="AK37" s="294">
        <v>15</v>
      </c>
      <c r="AL37" s="359">
        <v>5.0221796192585191E-4</v>
      </c>
      <c r="AM37" s="294">
        <v>6.4439536472909866</v>
      </c>
      <c r="AN37" s="324">
        <v>13.12</v>
      </c>
      <c r="AO37" s="326">
        <v>5.5206540628563493E-4</v>
      </c>
      <c r="AP37" s="289">
        <v>3.9374188080941543</v>
      </c>
      <c r="AQ37" s="294">
        <v>16</v>
      </c>
      <c r="AR37" s="359">
        <v>5.1254879624711765E-4</v>
      </c>
      <c r="AS37" s="321">
        <v>5.5826353593319444</v>
      </c>
      <c r="AT37" s="9"/>
    </row>
    <row r="38" spans="2:46" ht="15.6">
      <c r="B38" s="292">
        <v>8</v>
      </c>
      <c r="C38" s="82" t="s">
        <v>105</v>
      </c>
      <c r="D38" s="293">
        <v>3.79</v>
      </c>
      <c r="E38" s="307">
        <v>3.84</v>
      </c>
      <c r="F38" s="294">
        <v>3.2637585587835578</v>
      </c>
      <c r="G38" s="297">
        <v>4.7999999999999998E-6</v>
      </c>
      <c r="H38" s="295">
        <v>3.2637633587835579</v>
      </c>
      <c r="I38" s="296">
        <v>-0.52623664121644209</v>
      </c>
      <c r="J38" s="285"/>
      <c r="K38" s="285"/>
      <c r="O38" s="292">
        <v>9</v>
      </c>
      <c r="P38" s="82" t="s">
        <v>104</v>
      </c>
      <c r="Q38" s="324">
        <v>0.53</v>
      </c>
      <c r="R38" s="326">
        <v>2.356709819653893E-5</v>
      </c>
      <c r="S38" s="340">
        <v>3</v>
      </c>
      <c r="T38" s="341">
        <v>1.0501205013275273E-4</v>
      </c>
      <c r="U38" s="327">
        <v>0.53</v>
      </c>
      <c r="V38" s="341">
        <v>2.2925868555181483E-5</v>
      </c>
      <c r="W38" s="294">
        <v>4.5</v>
      </c>
      <c r="X38" s="337">
        <v>1.5066538857775558E-4</v>
      </c>
      <c r="Y38" s="327">
        <v>0.53</v>
      </c>
      <c r="Z38" s="326">
        <v>2.2301422662453243E-5</v>
      </c>
      <c r="AA38" s="316">
        <v>9</v>
      </c>
      <c r="AB38" s="337">
        <v>2.8830869788900373E-4</v>
      </c>
      <c r="AC38" s="321"/>
      <c r="AF38" s="292">
        <v>9</v>
      </c>
      <c r="AG38" s="82" t="s">
        <v>104</v>
      </c>
      <c r="AH38" s="327">
        <v>0.53</v>
      </c>
      <c r="AI38" s="326">
        <v>2.2925868555181483E-5</v>
      </c>
      <c r="AJ38" s="294">
        <v>0.163112052561663</v>
      </c>
      <c r="AK38" s="294">
        <v>4.5</v>
      </c>
      <c r="AL38" s="359">
        <v>1.5066538857775558E-4</v>
      </c>
      <c r="AM38" s="294">
        <v>1.933186094187296</v>
      </c>
      <c r="AN38" s="327">
        <v>0.53</v>
      </c>
      <c r="AO38" s="326">
        <v>2.2301422662453243E-5</v>
      </c>
      <c r="AP38" s="289">
        <v>0.15905731465624254</v>
      </c>
      <c r="AQ38" s="294">
        <v>9</v>
      </c>
      <c r="AR38" s="359">
        <v>2.8830869788900373E-4</v>
      </c>
      <c r="AS38" s="321">
        <v>3.1402323896242192</v>
      </c>
      <c r="AT38" s="9"/>
    </row>
    <row r="39" spans="2:46" ht="27.6">
      <c r="B39" s="292">
        <v>9</v>
      </c>
      <c r="C39" s="82" t="s">
        <v>104</v>
      </c>
      <c r="D39" s="298">
        <v>0.17</v>
      </c>
      <c r="E39" s="307">
        <v>0.12</v>
      </c>
      <c r="F39" s="294">
        <v>0.6780617125895364</v>
      </c>
      <c r="G39" s="295">
        <v>0.50730733425000007</v>
      </c>
      <c r="H39" s="295">
        <v>1.1853690468395364</v>
      </c>
      <c r="I39" s="296">
        <v>1.0153690468395364</v>
      </c>
      <c r="J39" s="285"/>
      <c r="K39" s="285"/>
      <c r="O39" s="292">
        <v>10</v>
      </c>
      <c r="P39" s="78" t="s">
        <v>103</v>
      </c>
      <c r="Q39" s="327">
        <v>8.5</v>
      </c>
      <c r="R39" s="326">
        <v>3.7796289560486959E-4</v>
      </c>
      <c r="S39" s="340">
        <v>5.5</v>
      </c>
      <c r="T39" s="341">
        <v>1.9252209191004667E-4</v>
      </c>
      <c r="U39" s="327">
        <v>9</v>
      </c>
      <c r="V39" s="341">
        <v>3.8930720188044029E-4</v>
      </c>
      <c r="W39" s="294">
        <v>6</v>
      </c>
      <c r="X39" s="337">
        <v>2.0088718477034075E-4</v>
      </c>
      <c r="Y39" s="327">
        <v>9.5</v>
      </c>
      <c r="Z39" s="326">
        <v>3.9974248168548265E-4</v>
      </c>
      <c r="AA39" s="316">
        <v>6.5</v>
      </c>
      <c r="AB39" s="337">
        <v>2.0822294847539156E-4</v>
      </c>
      <c r="AC39" s="321"/>
      <c r="AF39" s="292">
        <v>10</v>
      </c>
      <c r="AG39" s="78" t="s">
        <v>286</v>
      </c>
      <c r="AH39" s="327">
        <v>9</v>
      </c>
      <c r="AI39" s="326">
        <v>3.8930720188044029E-4</v>
      </c>
      <c r="AJ39" s="294">
        <v>2.7698273076508815</v>
      </c>
      <c r="AK39" s="294">
        <v>6</v>
      </c>
      <c r="AL39" s="359">
        <v>2.0088718477034075E-4</v>
      </c>
      <c r="AM39" s="294">
        <v>2.5775814589163946</v>
      </c>
      <c r="AN39" s="327">
        <v>9.5</v>
      </c>
      <c r="AO39" s="326">
        <v>3.9974248168548265E-4</v>
      </c>
      <c r="AP39" s="289">
        <v>2.8510273381779321</v>
      </c>
      <c r="AQ39" s="294">
        <v>6.5</v>
      </c>
      <c r="AR39" s="359">
        <v>2.0822294847539156E-4</v>
      </c>
      <c r="AS39" s="321">
        <v>2.2679456147286023</v>
      </c>
      <c r="AT39" s="9"/>
    </row>
    <row r="40" spans="2:46" ht="15.6">
      <c r="B40" s="292">
        <v>10</v>
      </c>
      <c r="C40" s="78" t="s">
        <v>103</v>
      </c>
      <c r="D40" s="298">
        <v>1.58</v>
      </c>
      <c r="E40" s="307">
        <v>1.56</v>
      </c>
      <c r="F40" s="294">
        <v>0.76634497128514723</v>
      </c>
      <c r="G40" s="295">
        <v>0</v>
      </c>
      <c r="H40" s="295">
        <v>0.76634497128514723</v>
      </c>
      <c r="I40" s="296">
        <v>-0.81365502871485285</v>
      </c>
      <c r="J40" s="285"/>
      <c r="K40" s="285"/>
      <c r="O40" s="292">
        <v>11</v>
      </c>
      <c r="P40" s="78" t="s">
        <v>106</v>
      </c>
      <c r="Q40" s="327">
        <v>0</v>
      </c>
      <c r="R40" s="326">
        <v>0</v>
      </c>
      <c r="S40" s="340">
        <v>8</v>
      </c>
      <c r="T40" s="341">
        <v>2.8003213368734059E-4</v>
      </c>
      <c r="U40" s="327">
        <v>0</v>
      </c>
      <c r="V40" s="341">
        <v>0</v>
      </c>
      <c r="W40" s="294">
        <v>9</v>
      </c>
      <c r="X40" s="337">
        <v>3.0133077715551116E-4</v>
      </c>
      <c r="Y40" s="327">
        <v>0</v>
      </c>
      <c r="Z40" s="326">
        <v>0</v>
      </c>
      <c r="AA40" s="316">
        <v>10</v>
      </c>
      <c r="AB40" s="337">
        <v>3.2034299765444857E-4</v>
      </c>
      <c r="AC40" s="321"/>
      <c r="AF40" s="292">
        <v>11</v>
      </c>
      <c r="AG40" s="78" t="s">
        <v>106</v>
      </c>
      <c r="AH40" s="327">
        <v>0</v>
      </c>
      <c r="AI40" s="326">
        <v>0</v>
      </c>
      <c r="AJ40" s="294">
        <v>0</v>
      </c>
      <c r="AK40" s="294">
        <v>9</v>
      </c>
      <c r="AL40" s="359">
        <v>3.0133077715551116E-4</v>
      </c>
      <c r="AM40" s="294">
        <v>3.8663721883745921</v>
      </c>
      <c r="AN40" s="327">
        <v>0</v>
      </c>
      <c r="AO40" s="326">
        <v>0</v>
      </c>
      <c r="AP40" s="289">
        <v>0</v>
      </c>
      <c r="AQ40" s="294">
        <v>10</v>
      </c>
      <c r="AR40" s="359">
        <v>3.2034299765444857E-4</v>
      </c>
      <c r="AS40" s="321">
        <v>3.4891470995824654</v>
      </c>
      <c r="AT40" s="9"/>
    </row>
    <row r="41" spans="2:46" ht="15.6">
      <c r="B41" s="292">
        <v>11</v>
      </c>
      <c r="C41" s="78" t="s">
        <v>106</v>
      </c>
      <c r="D41" s="298">
        <v>0</v>
      </c>
      <c r="E41" s="295">
        <v>0</v>
      </c>
      <c r="F41" s="294">
        <v>1.7160429873429597</v>
      </c>
      <c r="G41" s="295">
        <v>0</v>
      </c>
      <c r="H41" s="295">
        <v>1.7160429873429597</v>
      </c>
      <c r="I41" s="296">
        <v>1.7160429873429597</v>
      </c>
      <c r="J41" s="285"/>
      <c r="K41" s="285"/>
      <c r="O41" s="292">
        <v>12</v>
      </c>
      <c r="P41" s="78" t="s">
        <v>107</v>
      </c>
      <c r="Q41" s="327">
        <v>0</v>
      </c>
      <c r="R41" s="326">
        <v>0</v>
      </c>
      <c r="S41" s="340">
        <v>6</v>
      </c>
      <c r="T41" s="341">
        <v>2.1002410026550546E-4</v>
      </c>
      <c r="U41" s="327">
        <v>0</v>
      </c>
      <c r="V41" s="341">
        <v>0</v>
      </c>
      <c r="W41" s="294">
        <v>7</v>
      </c>
      <c r="X41" s="337">
        <v>2.3436838223206421E-4</v>
      </c>
      <c r="Y41" s="327">
        <v>0</v>
      </c>
      <c r="Z41" s="326">
        <v>0</v>
      </c>
      <c r="AA41" s="316">
        <v>8</v>
      </c>
      <c r="AB41" s="337">
        <v>2.5627439812355883E-4</v>
      </c>
      <c r="AC41" s="321"/>
      <c r="AF41" s="292">
        <v>12</v>
      </c>
      <c r="AG41" s="78" t="s">
        <v>107</v>
      </c>
      <c r="AH41" s="327">
        <v>0</v>
      </c>
      <c r="AI41" s="326">
        <v>0</v>
      </c>
      <c r="AJ41" s="294">
        <v>0</v>
      </c>
      <c r="AK41" s="294">
        <v>7</v>
      </c>
      <c r="AL41" s="359">
        <v>2.3436838223206421E-4</v>
      </c>
      <c r="AM41" s="294">
        <v>3.0071783687357936</v>
      </c>
      <c r="AN41" s="327">
        <v>0</v>
      </c>
      <c r="AO41" s="326">
        <v>0</v>
      </c>
      <c r="AP41" s="289">
        <v>0</v>
      </c>
      <c r="AQ41" s="294">
        <v>8</v>
      </c>
      <c r="AR41" s="359">
        <v>2.5627439812355883E-4</v>
      </c>
      <c r="AS41" s="321">
        <v>2.7913176796659722</v>
      </c>
      <c r="AT41" s="9"/>
    </row>
    <row r="42" spans="2:46" ht="15.6">
      <c r="B42" s="292">
        <v>12</v>
      </c>
      <c r="C42" s="78" t="s">
        <v>107</v>
      </c>
      <c r="D42" s="298">
        <v>0</v>
      </c>
      <c r="E42" s="295">
        <v>0</v>
      </c>
      <c r="F42" s="294">
        <v>0.71859538234957843</v>
      </c>
      <c r="G42" s="295">
        <v>0</v>
      </c>
      <c r="H42" s="295">
        <v>0.71859538234957843</v>
      </c>
      <c r="I42" s="296">
        <v>0.71859538234957843</v>
      </c>
      <c r="J42" s="285"/>
      <c r="K42" s="285"/>
      <c r="O42" s="292">
        <v>13</v>
      </c>
      <c r="P42" s="81" t="s">
        <v>108</v>
      </c>
      <c r="Q42" s="327">
        <v>0</v>
      </c>
      <c r="R42" s="326">
        <v>0</v>
      </c>
      <c r="S42" s="342">
        <v>1.2</v>
      </c>
      <c r="T42" s="343">
        <v>4.2004820053101088E-5</v>
      </c>
      <c r="U42" s="344">
        <v>0</v>
      </c>
      <c r="V42" s="343">
        <v>0</v>
      </c>
      <c r="W42" s="345">
        <v>1.5</v>
      </c>
      <c r="X42" s="337">
        <v>5.0221796192585189E-5</v>
      </c>
      <c r="Y42" s="344">
        <v>0</v>
      </c>
      <c r="Z42" s="346">
        <v>0</v>
      </c>
      <c r="AA42" s="316">
        <v>2</v>
      </c>
      <c r="AB42" s="337">
        <v>6.4068599530889706E-5</v>
      </c>
      <c r="AC42" s="321"/>
      <c r="AF42" s="292">
        <v>13</v>
      </c>
      <c r="AG42" s="81" t="s">
        <v>108</v>
      </c>
      <c r="AH42" s="327">
        <v>0</v>
      </c>
      <c r="AI42" s="326">
        <v>0</v>
      </c>
      <c r="AJ42" s="294">
        <v>0</v>
      </c>
      <c r="AK42" s="294">
        <v>1.5</v>
      </c>
      <c r="AL42" s="359">
        <v>5.0221796192585189E-5</v>
      </c>
      <c r="AM42" s="294">
        <v>0.64439536472909864</v>
      </c>
      <c r="AN42" s="327">
        <v>0</v>
      </c>
      <c r="AO42" s="326">
        <v>0</v>
      </c>
      <c r="AP42" s="289">
        <v>0</v>
      </c>
      <c r="AQ42" s="294">
        <v>2</v>
      </c>
      <c r="AR42" s="359">
        <v>6.4068599530889706E-5</v>
      </c>
      <c r="AS42" s="321">
        <v>0.69782941991649305</v>
      </c>
      <c r="AT42" s="9"/>
    </row>
    <row r="43" spans="2:46" ht="15.6">
      <c r="B43" s="292">
        <v>13</v>
      </c>
      <c r="C43" s="81" t="s">
        <v>108</v>
      </c>
      <c r="D43" s="298">
        <v>0</v>
      </c>
      <c r="E43" s="295">
        <v>0</v>
      </c>
      <c r="F43" s="294">
        <v>0.12211204665304791</v>
      </c>
      <c r="G43" s="295">
        <v>0</v>
      </c>
      <c r="H43" s="295">
        <v>0.12211204665304791</v>
      </c>
      <c r="I43" s="296">
        <v>0.12211204665304791</v>
      </c>
      <c r="J43" s="285"/>
      <c r="K43" s="285"/>
      <c r="O43" s="292">
        <v>14</v>
      </c>
      <c r="P43" s="81" t="s">
        <v>109</v>
      </c>
      <c r="Q43" s="327">
        <v>0</v>
      </c>
      <c r="R43" s="326">
        <v>0</v>
      </c>
      <c r="S43" s="342">
        <v>0.65</v>
      </c>
      <c r="T43" s="343">
        <v>2.2752610862096426E-5</v>
      </c>
      <c r="U43" s="344">
        <v>0</v>
      </c>
      <c r="V43" s="343">
        <v>0</v>
      </c>
      <c r="W43" s="345">
        <v>0.8</v>
      </c>
      <c r="X43" s="337">
        <v>2.678495796937877E-5</v>
      </c>
      <c r="Y43" s="344">
        <v>0</v>
      </c>
      <c r="Z43" s="346">
        <v>0</v>
      </c>
      <c r="AA43" s="316">
        <v>0.95</v>
      </c>
      <c r="AB43" s="337">
        <v>3.0432584777172611E-5</v>
      </c>
      <c r="AC43" s="321"/>
      <c r="AF43" s="292">
        <v>14</v>
      </c>
      <c r="AG43" s="81" t="s">
        <v>109</v>
      </c>
      <c r="AH43" s="327">
        <v>0</v>
      </c>
      <c r="AI43" s="326">
        <v>0</v>
      </c>
      <c r="AJ43" s="294">
        <v>0</v>
      </c>
      <c r="AK43" s="294">
        <v>0.8</v>
      </c>
      <c r="AL43" s="359">
        <v>2.678495796937877E-5</v>
      </c>
      <c r="AM43" s="294">
        <v>0.3436775278555193</v>
      </c>
      <c r="AN43" s="327">
        <v>0</v>
      </c>
      <c r="AO43" s="326">
        <v>0</v>
      </c>
      <c r="AP43" s="289">
        <v>0</v>
      </c>
      <c r="AQ43" s="294">
        <v>0.95</v>
      </c>
      <c r="AR43" s="359">
        <v>3.0432584777172611E-5</v>
      </c>
      <c r="AS43" s="321">
        <v>0.33146897446033419</v>
      </c>
      <c r="AT43" s="9"/>
    </row>
    <row r="44" spans="2:46" ht="15.6">
      <c r="B44" s="292">
        <v>14</v>
      </c>
      <c r="C44" s="81" t="s">
        <v>109</v>
      </c>
      <c r="D44" s="298">
        <v>0</v>
      </c>
      <c r="E44" s="295">
        <v>0</v>
      </c>
      <c r="F44" s="294">
        <v>0.16904380664981314</v>
      </c>
      <c r="G44" s="295">
        <v>0</v>
      </c>
      <c r="H44" s="295">
        <v>0.16904380664981314</v>
      </c>
      <c r="I44" s="296">
        <v>0.16904380664981314</v>
      </c>
      <c r="J44" s="285"/>
      <c r="K44" s="285"/>
      <c r="O44" s="312">
        <v>15</v>
      </c>
      <c r="P44" s="56" t="s">
        <v>287</v>
      </c>
      <c r="Q44" s="327">
        <v>0</v>
      </c>
      <c r="R44" s="326">
        <v>0</v>
      </c>
      <c r="S44" s="347">
        <v>0</v>
      </c>
      <c r="T44" s="343">
        <v>0</v>
      </c>
      <c r="U44" s="348">
        <v>0</v>
      </c>
      <c r="V44" s="343">
        <v>0</v>
      </c>
      <c r="W44" s="349">
        <v>25</v>
      </c>
      <c r="X44" s="337">
        <v>8.3702993654308645E-4</v>
      </c>
      <c r="Y44" s="348">
        <v>0</v>
      </c>
      <c r="Z44" s="346">
        <v>0</v>
      </c>
      <c r="AA44" s="319">
        <v>30</v>
      </c>
      <c r="AB44" s="337">
        <v>9.6102899296334572E-4</v>
      </c>
      <c r="AC44" s="350"/>
      <c r="AF44" s="312">
        <v>15</v>
      </c>
      <c r="AG44" s="56" t="s">
        <v>287</v>
      </c>
      <c r="AH44" s="360">
        <v>0</v>
      </c>
      <c r="AI44" s="361">
        <v>0</v>
      </c>
      <c r="AJ44" s="362">
        <v>0</v>
      </c>
      <c r="AK44" s="294">
        <v>25</v>
      </c>
      <c r="AL44" s="359">
        <v>8.3702993654308645E-4</v>
      </c>
      <c r="AM44" s="294">
        <v>10.739922745484977</v>
      </c>
      <c r="AN44" s="327">
        <v>0</v>
      </c>
      <c r="AO44" s="326">
        <v>0</v>
      </c>
      <c r="AP44" s="289">
        <v>0</v>
      </c>
      <c r="AQ44" s="294">
        <v>30</v>
      </c>
      <c r="AR44" s="359">
        <v>9.6102899296334572E-4</v>
      </c>
      <c r="AS44" s="321">
        <v>10.467441298747396</v>
      </c>
      <c r="AT44" s="9"/>
    </row>
    <row r="45" spans="2:46" ht="16.149999999999999" thickBot="1">
      <c r="B45" s="299"/>
      <c r="C45" s="300" t="s">
        <v>191</v>
      </c>
      <c r="D45" s="301">
        <v>6908.53</v>
      </c>
      <c r="E45" s="301">
        <v>6908.64</v>
      </c>
      <c r="F45" s="301">
        <v>6908.64</v>
      </c>
      <c r="G45" s="301">
        <v>85.575105854845901</v>
      </c>
      <c r="H45" s="301">
        <v>6994.215105854847</v>
      </c>
      <c r="I45" s="302">
        <v>85.685105854844721</v>
      </c>
      <c r="J45" s="285"/>
      <c r="K45" s="285"/>
      <c r="O45" s="312">
        <v>16</v>
      </c>
      <c r="P45" s="313"/>
      <c r="Q45" s="327">
        <v>0</v>
      </c>
      <c r="R45" s="326">
        <v>0</v>
      </c>
      <c r="S45" s="347">
        <v>0</v>
      </c>
      <c r="T45" s="343">
        <v>0</v>
      </c>
      <c r="U45" s="348">
        <v>0</v>
      </c>
      <c r="V45" s="343">
        <v>0</v>
      </c>
      <c r="W45" s="349">
        <v>0</v>
      </c>
      <c r="X45" s="337">
        <v>0</v>
      </c>
      <c r="Y45" s="348">
        <v>0</v>
      </c>
      <c r="Z45" s="346">
        <v>0</v>
      </c>
      <c r="AA45" s="319">
        <v>0</v>
      </c>
      <c r="AB45" s="337">
        <v>0</v>
      </c>
      <c r="AC45" s="350"/>
      <c r="AF45" s="312">
        <v>16</v>
      </c>
      <c r="AG45" s="313"/>
      <c r="AH45" s="360">
        <v>0</v>
      </c>
      <c r="AI45" s="361">
        <v>0</v>
      </c>
      <c r="AJ45" s="362">
        <v>0</v>
      </c>
      <c r="AK45" s="294">
        <v>0</v>
      </c>
      <c r="AL45" s="359">
        <v>0</v>
      </c>
      <c r="AM45" s="294">
        <v>0</v>
      </c>
      <c r="AN45" s="327">
        <v>0</v>
      </c>
      <c r="AO45" s="326">
        <v>0</v>
      </c>
      <c r="AP45" s="289">
        <v>0</v>
      </c>
      <c r="AQ45" s="294">
        <v>0</v>
      </c>
      <c r="AR45" s="359">
        <v>0</v>
      </c>
      <c r="AS45" s="321">
        <v>0</v>
      </c>
      <c r="AT45" s="9"/>
    </row>
    <row r="46" spans="2:46" ht="15.6">
      <c r="B46" s="303" t="s">
        <v>282</v>
      </c>
      <c r="C46" s="304"/>
      <c r="D46" s="285"/>
      <c r="E46" s="285"/>
      <c r="F46" s="285"/>
      <c r="G46" s="285"/>
      <c r="H46" s="285"/>
      <c r="I46" s="285"/>
      <c r="J46" s="285"/>
      <c r="K46" s="285"/>
      <c r="O46" s="312">
        <v>17</v>
      </c>
      <c r="P46" s="313"/>
      <c r="Q46" s="327">
        <v>0</v>
      </c>
      <c r="R46" s="326">
        <v>0</v>
      </c>
      <c r="S46" s="347">
        <v>0</v>
      </c>
      <c r="T46" s="343">
        <v>0</v>
      </c>
      <c r="U46" s="348">
        <v>0</v>
      </c>
      <c r="V46" s="343">
        <v>0</v>
      </c>
      <c r="W46" s="349">
        <v>0</v>
      </c>
      <c r="X46" s="337">
        <v>0</v>
      </c>
      <c r="Y46" s="348">
        <v>0</v>
      </c>
      <c r="Z46" s="346">
        <v>0</v>
      </c>
      <c r="AA46" s="319">
        <v>0</v>
      </c>
      <c r="AB46" s="337">
        <v>0</v>
      </c>
      <c r="AC46" s="350"/>
      <c r="AF46" s="312">
        <v>17</v>
      </c>
      <c r="AG46" s="313"/>
      <c r="AH46" s="360">
        <v>0</v>
      </c>
      <c r="AI46" s="361">
        <v>0</v>
      </c>
      <c r="AJ46" s="362">
        <v>0</v>
      </c>
      <c r="AK46" s="294">
        <v>0</v>
      </c>
      <c r="AL46" s="359">
        <v>0</v>
      </c>
      <c r="AM46" s="294">
        <v>0</v>
      </c>
      <c r="AN46" s="327">
        <v>0</v>
      </c>
      <c r="AO46" s="326">
        <v>0</v>
      </c>
      <c r="AP46" s="289">
        <v>0</v>
      </c>
      <c r="AQ46" s="294">
        <v>0</v>
      </c>
      <c r="AR46" s="359">
        <v>0</v>
      </c>
      <c r="AS46" s="321">
        <v>0</v>
      </c>
      <c r="AT46" s="9"/>
    </row>
    <row r="47" spans="2:46" ht="15.6">
      <c r="B47" s="305"/>
      <c r="C47" s="304"/>
      <c r="D47" s="285"/>
      <c r="E47" s="285"/>
      <c r="F47" s="285"/>
      <c r="G47" s="285"/>
      <c r="H47" s="285"/>
      <c r="I47" s="285"/>
      <c r="J47" s="285"/>
      <c r="K47" s="285"/>
      <c r="O47" s="312">
        <v>18</v>
      </c>
      <c r="P47" s="313"/>
      <c r="Q47" s="327">
        <v>0</v>
      </c>
      <c r="R47" s="326">
        <v>0</v>
      </c>
      <c r="S47" s="347">
        <v>0</v>
      </c>
      <c r="T47" s="343">
        <v>0</v>
      </c>
      <c r="U47" s="348">
        <v>0</v>
      </c>
      <c r="V47" s="343">
        <v>0</v>
      </c>
      <c r="W47" s="349">
        <v>0</v>
      </c>
      <c r="X47" s="337">
        <v>0</v>
      </c>
      <c r="Y47" s="348">
        <v>0</v>
      </c>
      <c r="Z47" s="346">
        <v>0</v>
      </c>
      <c r="AA47" s="319">
        <v>0</v>
      </c>
      <c r="AB47" s="337">
        <v>0</v>
      </c>
      <c r="AC47" s="350"/>
      <c r="AF47" s="312">
        <v>18</v>
      </c>
      <c r="AG47" s="313"/>
      <c r="AH47" s="360">
        <v>0</v>
      </c>
      <c r="AI47" s="361">
        <v>0</v>
      </c>
      <c r="AJ47" s="362">
        <v>0</v>
      </c>
      <c r="AK47" s="294">
        <v>0</v>
      </c>
      <c r="AL47" s="359">
        <v>0</v>
      </c>
      <c r="AM47" s="294">
        <v>0</v>
      </c>
      <c r="AN47" s="327">
        <v>0</v>
      </c>
      <c r="AO47" s="326">
        <v>0</v>
      </c>
      <c r="AP47" s="289">
        <v>0</v>
      </c>
      <c r="AQ47" s="294">
        <v>0</v>
      </c>
      <c r="AR47" s="359">
        <v>0</v>
      </c>
      <c r="AS47" s="321">
        <v>0</v>
      </c>
      <c r="AT47" s="9"/>
    </row>
    <row r="48" spans="2:46" ht="16.149999999999999" thickBot="1">
      <c r="B48" s="305"/>
      <c r="C48" s="304"/>
      <c r="D48" s="285"/>
      <c r="E48" s="285"/>
      <c r="F48" s="285"/>
      <c r="G48" s="285"/>
      <c r="H48" s="285"/>
      <c r="I48" s="285"/>
      <c r="J48" s="285"/>
      <c r="K48" s="285"/>
      <c r="O48" s="299"/>
      <c r="P48" s="330" t="s">
        <v>165</v>
      </c>
      <c r="Q48" s="301">
        <v>22488.98</v>
      </c>
      <c r="R48" s="331">
        <v>1</v>
      </c>
      <c r="S48" s="351">
        <v>28568.15</v>
      </c>
      <c r="T48" s="352">
        <v>0.99999999999999978</v>
      </c>
      <c r="U48" s="301">
        <v>23117.99</v>
      </c>
      <c r="V48" s="352">
        <v>1</v>
      </c>
      <c r="W48" s="301">
        <v>29867.51</v>
      </c>
      <c r="X48" s="352">
        <v>1</v>
      </c>
      <c r="Y48" s="301">
        <v>23765.3</v>
      </c>
      <c r="Z48" s="331">
        <v>1.0000000000000002</v>
      </c>
      <c r="AA48" s="301">
        <v>31216.54</v>
      </c>
      <c r="AB48" s="352">
        <v>1.0000000000000002</v>
      </c>
      <c r="AC48" s="302"/>
      <c r="AF48" s="299"/>
      <c r="AG48" s="300" t="s">
        <v>191</v>
      </c>
      <c r="AH48" s="301">
        <v>23117.99</v>
      </c>
      <c r="AI48" s="331">
        <v>1</v>
      </c>
      <c r="AJ48" s="301">
        <v>7114.76</v>
      </c>
      <c r="AK48" s="301">
        <v>29867.51</v>
      </c>
      <c r="AL48" s="363">
        <v>1.0000000000000002</v>
      </c>
      <c r="AM48" s="301">
        <v>12830.99</v>
      </c>
      <c r="AN48" s="301">
        <v>23765.3</v>
      </c>
      <c r="AO48" s="331">
        <v>1.0000000000000002</v>
      </c>
      <c r="AP48" s="301">
        <v>7132.1600000000008</v>
      </c>
      <c r="AQ48" s="301">
        <v>31216.54</v>
      </c>
      <c r="AR48" s="363">
        <v>1.0000000000000002</v>
      </c>
      <c r="AS48" s="302">
        <v>10891.91</v>
      </c>
      <c r="AT48" s="9"/>
    </row>
    <row r="49" spans="2:46" ht="14.45" thickBot="1">
      <c r="B49" s="305"/>
      <c r="C49" s="304"/>
      <c r="D49" s="285"/>
      <c r="E49" s="285"/>
      <c r="F49" s="285"/>
      <c r="G49" s="285"/>
      <c r="H49" s="285"/>
      <c r="I49" s="285"/>
      <c r="J49" s="285"/>
      <c r="K49" s="86" t="s">
        <v>21</v>
      </c>
      <c r="O49" s="280"/>
      <c r="P49" s="280"/>
      <c r="Q49" s="280"/>
      <c r="R49" s="280"/>
      <c r="S49" s="280"/>
      <c r="T49" s="280"/>
      <c r="U49" s="280"/>
      <c r="V49" s="280"/>
      <c r="W49" s="280"/>
      <c r="X49" s="280"/>
      <c r="Y49" s="280"/>
      <c r="Z49" s="280"/>
      <c r="AA49" s="280"/>
      <c r="AB49" s="280"/>
      <c r="AC49" s="280"/>
      <c r="AF49" s="9"/>
      <c r="AG49" s="9"/>
      <c r="AH49" s="9"/>
      <c r="AI49" s="9"/>
      <c r="AJ49" s="9"/>
      <c r="AK49" s="9"/>
      <c r="AL49" s="9"/>
      <c r="AM49" s="9"/>
      <c r="AN49" s="364"/>
      <c r="AO49" s="9"/>
      <c r="AP49" s="9"/>
      <c r="AQ49" s="9"/>
      <c r="AR49" s="9"/>
      <c r="AS49" s="9"/>
      <c r="AT49" s="9"/>
    </row>
    <row r="50" spans="2:46" ht="13.9">
      <c r="B50" s="450" t="s">
        <v>2</v>
      </c>
      <c r="C50" s="444" t="s">
        <v>82</v>
      </c>
      <c r="D50" s="447" t="s">
        <v>52</v>
      </c>
      <c r="E50" s="448"/>
      <c r="F50" s="448"/>
      <c r="G50" s="453"/>
      <c r="H50" s="447" t="s">
        <v>53</v>
      </c>
      <c r="I50" s="448"/>
      <c r="J50" s="448"/>
      <c r="K50" s="449"/>
      <c r="AF50" s="9"/>
      <c r="AG50" s="9"/>
      <c r="AH50" s="9"/>
      <c r="AI50" s="9"/>
      <c r="AJ50" s="9"/>
      <c r="AK50" s="9"/>
      <c r="AL50" s="9"/>
      <c r="AM50" s="9"/>
      <c r="AN50" s="9"/>
      <c r="AO50" s="9"/>
      <c r="AP50" s="9"/>
      <c r="AQ50" s="9"/>
      <c r="AR50" s="9"/>
      <c r="AS50" s="9"/>
      <c r="AT50" s="9"/>
    </row>
    <row r="51" spans="2:46" ht="13.9">
      <c r="B51" s="451"/>
      <c r="C51" s="445"/>
      <c r="D51" s="445" t="s">
        <v>231</v>
      </c>
      <c r="E51" s="445"/>
      <c r="F51" s="445" t="s">
        <v>288</v>
      </c>
      <c r="G51" s="445"/>
      <c r="H51" s="445" t="s">
        <v>231</v>
      </c>
      <c r="I51" s="445"/>
      <c r="J51" s="445" t="s">
        <v>288</v>
      </c>
      <c r="K51" s="454"/>
    </row>
    <row r="52" spans="2:46" ht="14.45" thickBot="1">
      <c r="B52" s="452"/>
      <c r="C52" s="446"/>
      <c r="D52" s="282" t="s">
        <v>208</v>
      </c>
      <c r="E52" s="282" t="s">
        <v>209</v>
      </c>
      <c r="F52" s="282" t="s">
        <v>208</v>
      </c>
      <c r="G52" s="282" t="s">
        <v>209</v>
      </c>
      <c r="H52" s="282" t="s">
        <v>208</v>
      </c>
      <c r="I52" s="282" t="s">
        <v>209</v>
      </c>
      <c r="J52" s="282" t="s">
        <v>208</v>
      </c>
      <c r="K52" s="284" t="s">
        <v>209</v>
      </c>
    </row>
    <row r="53" spans="2:46" ht="15.6">
      <c r="B53" s="286">
        <v>1</v>
      </c>
      <c r="C53" s="287" t="s">
        <v>96</v>
      </c>
      <c r="D53" s="288">
        <v>5977.94</v>
      </c>
      <c r="E53" s="288">
        <v>498.16166666666663</v>
      </c>
      <c r="F53" s="288">
        <v>11004.984038843548</v>
      </c>
      <c r="G53" s="288">
        <v>917.08200323696235</v>
      </c>
      <c r="H53" s="288">
        <v>6004.23</v>
      </c>
      <c r="I53" s="288">
        <v>500.35249999999996</v>
      </c>
      <c r="J53" s="288">
        <v>9371.8491094785022</v>
      </c>
      <c r="K53" s="308">
        <v>780.98742578987515</v>
      </c>
    </row>
    <row r="54" spans="2:46" ht="15.6">
      <c r="B54" s="292">
        <v>2</v>
      </c>
      <c r="C54" s="78" t="s">
        <v>97</v>
      </c>
      <c r="D54" s="293">
        <v>258.89883603202526</v>
      </c>
      <c r="E54" s="293">
        <v>21.574903002668773</v>
      </c>
      <c r="F54" s="293">
        <v>414.56101797572018</v>
      </c>
      <c r="G54" s="293">
        <v>34.546751497976679</v>
      </c>
      <c r="H54" s="293">
        <v>255.8</v>
      </c>
      <c r="I54" s="293">
        <v>21.316666666666666</v>
      </c>
      <c r="J54" s="293">
        <v>348.91470995824653</v>
      </c>
      <c r="K54" s="309">
        <v>29.076225829853879</v>
      </c>
    </row>
    <row r="55" spans="2:46" ht="15.6">
      <c r="B55" s="292">
        <v>3</v>
      </c>
      <c r="C55" s="78" t="s">
        <v>98</v>
      </c>
      <c r="D55" s="293">
        <v>485.29836498761352</v>
      </c>
      <c r="E55" s="293">
        <v>40.44153041563446</v>
      </c>
      <c r="F55" s="293">
        <v>797.33186462480467</v>
      </c>
      <c r="G55" s="293">
        <v>66.444322052067051</v>
      </c>
      <c r="H55" s="293">
        <v>483.09</v>
      </c>
      <c r="I55" s="293">
        <v>40.2575</v>
      </c>
      <c r="J55" s="293">
        <v>657.70422827129471</v>
      </c>
      <c r="K55" s="309">
        <v>54.808685689274562</v>
      </c>
    </row>
    <row r="56" spans="2:46" ht="15.6">
      <c r="B56" s="292">
        <v>4</v>
      </c>
      <c r="C56" s="78" t="s">
        <v>99</v>
      </c>
      <c r="D56" s="293">
        <v>254.90720712311062</v>
      </c>
      <c r="E56" s="293">
        <v>21.242267260259219</v>
      </c>
      <c r="F56" s="293">
        <v>396.51794776330536</v>
      </c>
      <c r="G56" s="293">
        <v>33.043162313608782</v>
      </c>
      <c r="H56" s="293">
        <v>250.31</v>
      </c>
      <c r="I56" s="293">
        <v>20.859166666666667</v>
      </c>
      <c r="J56" s="293">
        <v>328.67765678066826</v>
      </c>
      <c r="K56" s="309">
        <v>27.389804731722354</v>
      </c>
    </row>
    <row r="57" spans="2:46" ht="15.6">
      <c r="B57" s="292">
        <v>5</v>
      </c>
      <c r="C57" s="78" t="s">
        <v>100</v>
      </c>
      <c r="D57" s="293">
        <v>123.53429792122928</v>
      </c>
      <c r="E57" s="293">
        <v>10.294524826769107</v>
      </c>
      <c r="F57" s="293">
        <v>180.09132056539028</v>
      </c>
      <c r="G57" s="293">
        <v>15.007610047115856</v>
      </c>
      <c r="H57" s="293">
        <v>124.63</v>
      </c>
      <c r="I57" s="293">
        <v>10.385833333333332</v>
      </c>
      <c r="J57" s="293">
        <v>149.19244083104664</v>
      </c>
      <c r="K57" s="309">
        <v>12.432703402587221</v>
      </c>
    </row>
    <row r="58" spans="2:46" ht="15.6">
      <c r="B58" s="292">
        <v>6</v>
      </c>
      <c r="C58" s="78" t="s">
        <v>101</v>
      </c>
      <c r="D58" s="293">
        <v>4.8625857178759917</v>
      </c>
      <c r="E58" s="293">
        <v>0.40521547648966599</v>
      </c>
      <c r="F58" s="293">
        <v>5.5847598276521886</v>
      </c>
      <c r="G58" s="293">
        <v>0.46539665230434907</v>
      </c>
      <c r="H58" s="293">
        <v>4.74</v>
      </c>
      <c r="I58" s="293">
        <v>0.39500000000000002</v>
      </c>
      <c r="J58" s="293">
        <v>4.8848059394154522</v>
      </c>
      <c r="K58" s="309">
        <v>0.40706716161795437</v>
      </c>
    </row>
    <row r="59" spans="2:46" ht="15.6">
      <c r="B59" s="292">
        <v>7</v>
      </c>
      <c r="C59" s="78" t="s">
        <v>102</v>
      </c>
      <c r="D59" s="293">
        <v>2.4620687179118947</v>
      </c>
      <c r="E59" s="293">
        <v>0.20517239315932456</v>
      </c>
      <c r="F59" s="293">
        <v>2.3627830040066953</v>
      </c>
      <c r="G59" s="293">
        <v>0.1968985836672246</v>
      </c>
      <c r="H59" s="293">
        <v>2.4</v>
      </c>
      <c r="I59" s="293">
        <v>0.19999999999999998</v>
      </c>
      <c r="J59" s="293">
        <v>1.919030904770356</v>
      </c>
      <c r="K59" s="309">
        <v>0.15991924206419633</v>
      </c>
    </row>
    <row r="60" spans="2:46" ht="15.6">
      <c r="B60" s="292">
        <v>8</v>
      </c>
      <c r="C60" s="82" t="s">
        <v>105</v>
      </c>
      <c r="D60" s="293">
        <v>3.9177668473773024</v>
      </c>
      <c r="E60" s="293">
        <v>0.3264805706147752</v>
      </c>
      <c r="F60" s="293">
        <v>6.4439536472909866</v>
      </c>
      <c r="G60" s="293">
        <v>0.53699613727424889</v>
      </c>
      <c r="H60" s="298">
        <v>3.94</v>
      </c>
      <c r="I60" s="293">
        <v>0.32833333333333331</v>
      </c>
      <c r="J60" s="293">
        <v>5.5826353593319444</v>
      </c>
      <c r="K60" s="309">
        <v>0.46521961327766204</v>
      </c>
    </row>
    <row r="61" spans="2:46" ht="15.6">
      <c r="B61" s="292">
        <v>9</v>
      </c>
      <c r="C61" s="82" t="s">
        <v>104</v>
      </c>
      <c r="D61" s="293">
        <v>0.16</v>
      </c>
      <c r="E61" s="293">
        <v>1.3333333333333334E-2</v>
      </c>
      <c r="F61" s="293">
        <v>1.933186094187296</v>
      </c>
      <c r="G61" s="293"/>
      <c r="H61" s="298">
        <v>0.16</v>
      </c>
      <c r="I61" s="293">
        <v>1.3333333333333334E-2</v>
      </c>
      <c r="J61" s="293">
        <v>3.1402323896242192</v>
      </c>
      <c r="K61" s="309"/>
    </row>
    <row r="62" spans="2:46" ht="15.6">
      <c r="B62" s="310">
        <v>10</v>
      </c>
      <c r="C62" s="78" t="s">
        <v>103</v>
      </c>
      <c r="D62" s="293">
        <v>2.77</v>
      </c>
      <c r="E62" s="293">
        <v>0.23083333333333333</v>
      </c>
      <c r="F62" s="293">
        <v>2.5775814589163946</v>
      </c>
      <c r="G62" s="293">
        <v>0.21479845490969954</v>
      </c>
      <c r="H62" s="298">
        <v>2.85</v>
      </c>
      <c r="I62" s="293">
        <v>0.23750000000000002</v>
      </c>
      <c r="J62" s="293">
        <v>2.2679456147286023</v>
      </c>
      <c r="K62" s="309">
        <v>0.1889954678940502</v>
      </c>
    </row>
    <row r="63" spans="2:46" ht="15.6">
      <c r="B63" s="292">
        <v>11</v>
      </c>
      <c r="C63" s="78" t="s">
        <v>106</v>
      </c>
      <c r="D63" s="311">
        <v>0</v>
      </c>
      <c r="E63" s="293">
        <v>0</v>
      </c>
      <c r="F63" s="293">
        <v>3.8663721883745921</v>
      </c>
      <c r="G63" s="293">
        <v>0.32219768236454932</v>
      </c>
      <c r="H63" s="311">
        <v>0</v>
      </c>
      <c r="I63" s="293">
        <v>0</v>
      </c>
      <c r="J63" s="293">
        <v>3.4891470995824654</v>
      </c>
      <c r="K63" s="309">
        <v>0.2907622582985388</v>
      </c>
    </row>
    <row r="64" spans="2:46" ht="15.6">
      <c r="B64" s="292">
        <v>12</v>
      </c>
      <c r="C64" s="78" t="s">
        <v>107</v>
      </c>
      <c r="D64" s="311">
        <v>0</v>
      </c>
      <c r="E64" s="293">
        <v>0</v>
      </c>
      <c r="F64" s="293">
        <v>3.0071783687357936</v>
      </c>
      <c r="G64" s="293">
        <v>0.25059819739464945</v>
      </c>
      <c r="H64" s="311">
        <v>0</v>
      </c>
      <c r="I64" s="293">
        <v>0</v>
      </c>
      <c r="J64" s="293">
        <v>2.7913176796659722</v>
      </c>
      <c r="K64" s="309">
        <v>0.23260980663883102</v>
      </c>
    </row>
    <row r="65" spans="2:11" ht="15.6">
      <c r="B65" s="292">
        <v>13</v>
      </c>
      <c r="C65" s="81" t="s">
        <v>108</v>
      </c>
      <c r="D65" s="311">
        <v>0</v>
      </c>
      <c r="E65" s="293">
        <v>0</v>
      </c>
      <c r="F65" s="293">
        <v>0.64439536472909864</v>
      </c>
      <c r="G65" s="293">
        <v>5.3699613727424884E-2</v>
      </c>
      <c r="H65" s="311">
        <v>0</v>
      </c>
      <c r="I65" s="293">
        <v>0</v>
      </c>
      <c r="J65" s="293">
        <v>0.69782941991649305</v>
      </c>
      <c r="K65" s="309">
        <v>5.8152451659707755E-2</v>
      </c>
    </row>
    <row r="66" spans="2:11" ht="15.6">
      <c r="B66" s="292">
        <v>14</v>
      </c>
      <c r="C66" s="81" t="s">
        <v>109</v>
      </c>
      <c r="D66" s="311">
        <v>0</v>
      </c>
      <c r="E66" s="293">
        <v>0</v>
      </c>
      <c r="F66" s="293">
        <v>0.3436775278555193</v>
      </c>
      <c r="G66" s="293">
        <v>2.8639793987959943E-2</v>
      </c>
      <c r="H66" s="311">
        <v>0</v>
      </c>
      <c r="I66" s="293">
        <v>0</v>
      </c>
      <c r="J66" s="293">
        <v>0.33146897446033419</v>
      </c>
      <c r="K66" s="309">
        <v>2.7622414538361183E-2</v>
      </c>
    </row>
    <row r="67" spans="2:11" ht="15.6">
      <c r="B67" s="312">
        <v>15</v>
      </c>
      <c r="C67" s="56" t="s">
        <v>287</v>
      </c>
      <c r="D67" s="311">
        <v>0</v>
      </c>
      <c r="E67" s="311">
        <v>0</v>
      </c>
      <c r="F67" s="293">
        <v>10.739922745484977</v>
      </c>
      <c r="G67" s="293">
        <v>0.89499356212374803</v>
      </c>
      <c r="H67" s="311">
        <v>0</v>
      </c>
      <c r="I67" s="293">
        <v>0</v>
      </c>
      <c r="J67" s="293">
        <v>10.467441298747396</v>
      </c>
      <c r="K67" s="309">
        <v>0.87228677489561635</v>
      </c>
    </row>
    <row r="68" spans="2:11" ht="15.6">
      <c r="B68" s="312">
        <v>16</v>
      </c>
      <c r="C68" s="313"/>
      <c r="D68" s="311">
        <v>0</v>
      </c>
      <c r="E68" s="311">
        <v>0</v>
      </c>
      <c r="F68" s="293">
        <v>0</v>
      </c>
      <c r="G68" s="293">
        <v>0</v>
      </c>
      <c r="H68" s="311">
        <v>0</v>
      </c>
      <c r="I68" s="293">
        <v>0</v>
      </c>
      <c r="J68" s="293">
        <v>0</v>
      </c>
      <c r="K68" s="309">
        <v>0</v>
      </c>
    </row>
    <row r="69" spans="2:11" ht="15.6">
      <c r="B69" s="312">
        <v>17</v>
      </c>
      <c r="C69" s="313"/>
      <c r="D69" s="311">
        <v>0</v>
      </c>
      <c r="E69" s="311">
        <v>0</v>
      </c>
      <c r="F69" s="293">
        <v>0</v>
      </c>
      <c r="G69" s="293">
        <v>0</v>
      </c>
      <c r="H69" s="311">
        <v>0</v>
      </c>
      <c r="I69" s="293">
        <v>0</v>
      </c>
      <c r="J69" s="293">
        <v>0</v>
      </c>
      <c r="K69" s="309">
        <v>0</v>
      </c>
    </row>
    <row r="70" spans="2:11" ht="15.6">
      <c r="B70" s="312">
        <v>18</v>
      </c>
      <c r="C70" s="313"/>
      <c r="D70" s="311">
        <v>0</v>
      </c>
      <c r="E70" s="311">
        <v>0</v>
      </c>
      <c r="F70" s="293">
        <v>0</v>
      </c>
      <c r="G70" s="293">
        <v>0</v>
      </c>
      <c r="H70" s="311">
        <v>0</v>
      </c>
      <c r="I70" s="293">
        <v>0</v>
      </c>
      <c r="J70" s="293">
        <v>0</v>
      </c>
      <c r="K70" s="309">
        <v>0</v>
      </c>
    </row>
    <row r="71" spans="2:11" ht="16.149999999999999" thickBot="1">
      <c r="B71" s="299"/>
      <c r="C71" s="300" t="s">
        <v>191</v>
      </c>
      <c r="D71" s="301">
        <v>7114.76</v>
      </c>
      <c r="E71" s="301">
        <v>592.89592727892853</v>
      </c>
      <c r="F71" s="301">
        <v>12830.99</v>
      </c>
      <c r="G71" s="301">
        <v>1069.0880678254844</v>
      </c>
      <c r="H71" s="301">
        <v>7132.1600000000008</v>
      </c>
      <c r="I71" s="301">
        <v>594.34583333333342</v>
      </c>
      <c r="J71" s="301">
        <v>10891.91</v>
      </c>
      <c r="K71" s="301">
        <v>907.39748063419813</v>
      </c>
    </row>
    <row r="72" spans="2:11" ht="13.9">
      <c r="B72" s="305"/>
      <c r="C72" s="304"/>
      <c r="D72" s="285"/>
      <c r="E72" s="285"/>
      <c r="F72" s="285"/>
      <c r="G72" s="285"/>
      <c r="H72" s="285"/>
      <c r="I72" s="285"/>
      <c r="J72" s="285"/>
      <c r="K72" s="285"/>
    </row>
  </sheetData>
  <mergeCells count="63">
    <mergeCell ref="AC27:AC29"/>
    <mergeCell ref="AA8:AB8"/>
    <mergeCell ref="AQ28:AS28"/>
    <mergeCell ref="AK8:AM8"/>
    <mergeCell ref="AN8:AP8"/>
    <mergeCell ref="AQ8:AS8"/>
    <mergeCell ref="AF27:AF29"/>
    <mergeCell ref="AG27:AG29"/>
    <mergeCell ref="AH27:AM27"/>
    <mergeCell ref="AN27:AS27"/>
    <mergeCell ref="AH28:AJ28"/>
    <mergeCell ref="AK28:AM28"/>
    <mergeCell ref="AN28:AP28"/>
    <mergeCell ref="AF2:AT2"/>
    <mergeCell ref="AF3:AS3"/>
    <mergeCell ref="AF4:AS4"/>
    <mergeCell ref="AF7:AF9"/>
    <mergeCell ref="AG7:AG9"/>
    <mergeCell ref="AH7:AM7"/>
    <mergeCell ref="AN7:AS7"/>
    <mergeCell ref="AH8:AJ8"/>
    <mergeCell ref="O27:O29"/>
    <mergeCell ref="P27:P29"/>
    <mergeCell ref="Q27:T27"/>
    <mergeCell ref="U27:X27"/>
    <mergeCell ref="Y27:AB27"/>
    <mergeCell ref="Q28:R28"/>
    <mergeCell ref="S28:T28"/>
    <mergeCell ref="U28:V28"/>
    <mergeCell ref="W28:X28"/>
    <mergeCell ref="Y28:Z28"/>
    <mergeCell ref="AA28:AB28"/>
    <mergeCell ref="O3:AC3"/>
    <mergeCell ref="O4:Z4"/>
    <mergeCell ref="O5:Z5"/>
    <mergeCell ref="O7:O9"/>
    <mergeCell ref="P7:P9"/>
    <mergeCell ref="Q7:T7"/>
    <mergeCell ref="U7:X7"/>
    <mergeCell ref="Y7:AB7"/>
    <mergeCell ref="AC7:AC9"/>
    <mergeCell ref="Q8:R8"/>
    <mergeCell ref="S8:T8"/>
    <mergeCell ref="U8:V8"/>
    <mergeCell ref="W8:X8"/>
    <mergeCell ref="Y8:Z8"/>
    <mergeCell ref="B28:B30"/>
    <mergeCell ref="C28:C30"/>
    <mergeCell ref="D28:I28"/>
    <mergeCell ref="B50:B52"/>
    <mergeCell ref="C50:C52"/>
    <mergeCell ref="D50:G50"/>
    <mergeCell ref="H50:K50"/>
    <mergeCell ref="D51:E51"/>
    <mergeCell ref="F51:G51"/>
    <mergeCell ref="H51:I51"/>
    <mergeCell ref="J51:K51"/>
    <mergeCell ref="B2:I2"/>
    <mergeCell ref="B3:I3"/>
    <mergeCell ref="B4:I4"/>
    <mergeCell ref="B7:B9"/>
    <mergeCell ref="C7:C9"/>
    <mergeCell ref="D7:I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45DD-F2CB-4CF4-B7CC-A99D33763013}">
  <dimension ref="B4:K54"/>
  <sheetViews>
    <sheetView zoomScale="63" workbookViewId="0">
      <selection activeCell="E8" sqref="E8"/>
    </sheetView>
  </sheetViews>
  <sheetFormatPr defaultRowHeight="13.15"/>
  <cols>
    <col min="3" max="3" width="43.5703125" bestFit="1" customWidth="1"/>
    <col min="4" max="4" width="11.140625" bestFit="1" customWidth="1"/>
    <col min="5" max="5" width="33.140625" bestFit="1" customWidth="1"/>
    <col min="6" max="6" width="13.28515625" bestFit="1" customWidth="1"/>
    <col min="7" max="7" width="30.7109375" bestFit="1" customWidth="1"/>
    <col min="8" max="8" width="28.28515625" bestFit="1" customWidth="1"/>
    <col min="9" max="9" width="24.28515625" bestFit="1" customWidth="1"/>
    <col min="10" max="10" width="40.28515625" customWidth="1"/>
    <col min="11" max="11" width="11.28515625" bestFit="1" customWidth="1"/>
  </cols>
  <sheetData>
    <row r="4" spans="2:11" ht="13.9">
      <c r="B4" s="415" t="s">
        <v>2</v>
      </c>
      <c r="C4" s="415" t="s">
        <v>82</v>
      </c>
      <c r="D4" s="415" t="s">
        <v>51</v>
      </c>
      <c r="E4" s="415"/>
      <c r="F4" s="415"/>
      <c r="G4" s="415"/>
      <c r="H4" s="415"/>
      <c r="I4" s="415"/>
      <c r="J4" s="415"/>
      <c r="K4" s="415"/>
    </row>
    <row r="5" spans="2:11" ht="13.9">
      <c r="B5" s="415"/>
      <c r="C5" s="415"/>
      <c r="D5" s="415" t="s">
        <v>229</v>
      </c>
      <c r="E5" s="415"/>
      <c r="F5" s="466" t="s">
        <v>56</v>
      </c>
      <c r="G5" s="467"/>
      <c r="H5" s="415" t="s">
        <v>230</v>
      </c>
      <c r="I5" s="415"/>
      <c r="J5" s="415"/>
      <c r="K5" s="415"/>
    </row>
    <row r="6" spans="2:11" ht="41.45">
      <c r="B6" s="415"/>
      <c r="C6" s="415"/>
      <c r="D6" s="127" t="s">
        <v>231</v>
      </c>
      <c r="E6" s="127" t="s">
        <v>189</v>
      </c>
      <c r="F6" s="127" t="s">
        <v>232</v>
      </c>
      <c r="G6" s="127" t="s">
        <v>233</v>
      </c>
      <c r="H6" s="127" t="s">
        <v>234</v>
      </c>
      <c r="I6" s="127" t="s">
        <v>235</v>
      </c>
      <c r="J6" s="50" t="s">
        <v>236</v>
      </c>
      <c r="K6" s="127" t="s">
        <v>200</v>
      </c>
    </row>
    <row r="7" spans="2:11" ht="13.9">
      <c r="B7" s="416"/>
      <c r="C7" s="416"/>
      <c r="D7" s="127" t="s">
        <v>201</v>
      </c>
      <c r="E7" s="127" t="s">
        <v>202</v>
      </c>
      <c r="F7" s="127" t="s">
        <v>237</v>
      </c>
      <c r="G7" s="127" t="s">
        <v>204</v>
      </c>
      <c r="H7" s="127" t="s">
        <v>238</v>
      </c>
      <c r="I7" s="127" t="s">
        <v>239</v>
      </c>
      <c r="J7" s="127" t="s">
        <v>240</v>
      </c>
      <c r="K7" s="127" t="s">
        <v>241</v>
      </c>
    </row>
    <row r="8" spans="2:11" ht="13.9">
      <c r="B8" s="106">
        <v>1</v>
      </c>
      <c r="C8" s="10" t="s">
        <v>96</v>
      </c>
      <c r="D8" s="132">
        <v>5885.89</v>
      </c>
      <c r="E8" s="190">
        <f>'F5'!H10</f>
        <v>0.85198213915230869</v>
      </c>
      <c r="F8" s="140">
        <v>5877.2691673999998</v>
      </c>
      <c r="G8" s="132">
        <f>E8*$F$26</f>
        <v>5972.2740983003632</v>
      </c>
      <c r="H8" s="132">
        <f>G8-F8</f>
        <v>95.004930900363433</v>
      </c>
      <c r="I8" s="132">
        <v>133.76569135174995</v>
      </c>
      <c r="J8" s="132">
        <f>I8-H8</f>
        <v>38.760760451386517</v>
      </c>
      <c r="K8" s="132">
        <f>J8</f>
        <v>38.760760451386517</v>
      </c>
    </row>
    <row r="9" spans="2:11" ht="13.9">
      <c r="B9" s="106">
        <v>2</v>
      </c>
      <c r="C9" s="10" t="s">
        <v>97</v>
      </c>
      <c r="D9" s="132">
        <v>259.13</v>
      </c>
      <c r="E9" s="190">
        <f>'F5'!H11</f>
        <v>3.4312156752402692E-2</v>
      </c>
      <c r="F9" s="140">
        <v>259.10583370000001</v>
      </c>
      <c r="G9" s="132">
        <f t="shared" ref="G9:G25" si="0">E9*$F$26</f>
        <v>240.5233579580507</v>
      </c>
      <c r="H9" s="132">
        <f t="shared" ref="H9:H25" si="1">G9-F9</f>
        <v>-18.58247574194931</v>
      </c>
      <c r="I9" s="132">
        <v>0.87181028882129086</v>
      </c>
      <c r="J9" s="132">
        <f>(-H9/$H$8)*$I$26-I9</f>
        <v>26.033115966972932</v>
      </c>
      <c r="K9" s="132">
        <f>H9+J9</f>
        <v>7.4506402250236228</v>
      </c>
    </row>
    <row r="10" spans="2:11" ht="13.9">
      <c r="B10" s="106">
        <v>3</v>
      </c>
      <c r="C10" s="10" t="s">
        <v>98</v>
      </c>
      <c r="D10" s="132">
        <v>482.12</v>
      </c>
      <c r="E10" s="190">
        <f>'F5'!H12</f>
        <v>6.2044909916345967E-2</v>
      </c>
      <c r="F10" s="140">
        <v>481.76333369999998</v>
      </c>
      <c r="G10" s="132">
        <f t="shared" si="0"/>
        <v>434.92602884076348</v>
      </c>
      <c r="H10" s="132">
        <f t="shared" si="1"/>
        <v>-46.837304859236497</v>
      </c>
      <c r="I10" s="132">
        <v>0.18763077305263656</v>
      </c>
      <c r="J10" s="132">
        <f t="shared" ref="J10:J25" si="2">(-H10/$H$8)*$I$26-I10</f>
        <v>67.626488871573329</v>
      </c>
      <c r="K10" s="132">
        <f t="shared" ref="K10:K25" si="3">H10+J10</f>
        <v>20.789184012336833</v>
      </c>
    </row>
    <row r="11" spans="2:11" ht="13.9">
      <c r="B11" s="106">
        <v>4</v>
      </c>
      <c r="C11" s="10" t="s">
        <v>99</v>
      </c>
      <c r="D11" s="132">
        <v>256.72000000000003</v>
      </c>
      <c r="E11" s="190">
        <f>'F5'!H13</f>
        <v>3.1291219313685108E-2</v>
      </c>
      <c r="F11" s="140">
        <v>256.8266663</v>
      </c>
      <c r="G11" s="132">
        <f t="shared" si="0"/>
        <v>219.34701447766992</v>
      </c>
      <c r="H11" s="132">
        <f t="shared" si="1"/>
        <v>-37.479651822330084</v>
      </c>
      <c r="I11" s="132">
        <v>4.769039338306455E-2</v>
      </c>
      <c r="J11" s="132">
        <f t="shared" si="2"/>
        <v>54.217805893327231</v>
      </c>
      <c r="K11" s="132">
        <f t="shared" si="3"/>
        <v>16.738154070997147</v>
      </c>
    </row>
    <row r="12" spans="2:11" ht="13.9">
      <c r="B12" s="106">
        <v>5</v>
      </c>
      <c r="C12" s="10" t="s">
        <v>242</v>
      </c>
      <c r="D12" s="132">
        <v>121.09</v>
      </c>
      <c r="E12" s="190">
        <f>'F5'!H14</f>
        <v>1.8988167169885543E-2</v>
      </c>
      <c r="F12" s="194">
        <v>120.8691663</v>
      </c>
      <c r="G12" s="132">
        <f t="shared" si="0"/>
        <v>133.10436187751091</v>
      </c>
      <c r="H12" s="132">
        <f t="shared" si="1"/>
        <v>12.235195577510908</v>
      </c>
      <c r="I12" s="132">
        <v>1.8836332485094078</v>
      </c>
      <c r="J12" s="132">
        <f t="shared" si="2"/>
        <v>-19.598551287929848</v>
      </c>
      <c r="K12" s="132">
        <f t="shared" si="3"/>
        <v>-7.36335571041894</v>
      </c>
    </row>
    <row r="13" spans="2:11" ht="13.9">
      <c r="B13" s="106">
        <v>6</v>
      </c>
      <c r="C13" s="10" t="s">
        <v>243</v>
      </c>
      <c r="D13" s="132">
        <v>4.93</v>
      </c>
      <c r="E13" s="190">
        <f>'F5'!H15</f>
        <v>3.6020805834941259E-4</v>
      </c>
      <c r="F13" s="140">
        <v>4.9391663000000001</v>
      </c>
      <c r="G13" s="132">
        <f t="shared" si="0"/>
        <v>2.5250074596865253</v>
      </c>
      <c r="H13" s="132">
        <f t="shared" si="1"/>
        <v>-2.4141588403134748</v>
      </c>
      <c r="I13" s="132">
        <v>0</v>
      </c>
      <c r="J13" s="132">
        <f t="shared" si="2"/>
        <v>3.4953773905260141</v>
      </c>
      <c r="K13" s="132">
        <f t="shared" si="3"/>
        <v>1.0812185502125393</v>
      </c>
    </row>
    <row r="14" spans="2:11" ht="13.9">
      <c r="B14" s="106">
        <v>7</v>
      </c>
      <c r="C14" s="10" t="s">
        <v>244</v>
      </c>
      <c r="D14" s="132">
        <v>2.5</v>
      </c>
      <c r="E14" s="190">
        <f>'F5'!H16</f>
        <v>2.0238484263632983E-4</v>
      </c>
      <c r="F14" s="140">
        <v>2.5016663000000001</v>
      </c>
      <c r="G14" s="132">
        <f t="shared" si="0"/>
        <v>1.4186890757688395</v>
      </c>
      <c r="H14" s="132">
        <f t="shared" si="1"/>
        <v>-1.0829772242311606</v>
      </c>
      <c r="I14" s="132">
        <v>0</v>
      </c>
      <c r="J14" s="132">
        <f t="shared" si="2"/>
        <v>1.5680054024699923</v>
      </c>
      <c r="K14" s="132">
        <f t="shared" si="3"/>
        <v>0.48502817823883171</v>
      </c>
    </row>
    <row r="15" spans="2:11" ht="13.9">
      <c r="B15" s="106">
        <v>8</v>
      </c>
      <c r="C15" s="10" t="s">
        <v>245</v>
      </c>
      <c r="D15" s="132">
        <v>3.86</v>
      </c>
      <c r="E15" s="190">
        <f>'F5'!H17</f>
        <v>1.7247172641672806E-4</v>
      </c>
      <c r="F15" s="140">
        <v>2.5591662999999998</v>
      </c>
      <c r="G15" s="132">
        <f t="shared" si="0"/>
        <v>1.2090023687499274</v>
      </c>
      <c r="H15" s="132">
        <f t="shared" si="1"/>
        <v>-1.3501639312500724</v>
      </c>
      <c r="I15" s="132">
        <v>0</v>
      </c>
      <c r="J15" s="132">
        <f t="shared" si="2"/>
        <v>1.9548558280375721</v>
      </c>
      <c r="K15" s="132">
        <f t="shared" si="3"/>
        <v>0.60469189678749968</v>
      </c>
    </row>
    <row r="16" spans="2:11" ht="13.9">
      <c r="B16" s="106">
        <v>9</v>
      </c>
      <c r="C16" s="10" t="s">
        <v>104</v>
      </c>
      <c r="D16" s="132">
        <v>0.17</v>
      </c>
      <c r="E16" s="190">
        <f>'F5'!H18</f>
        <v>1.3602234926615297E-4</v>
      </c>
      <c r="F16" s="140">
        <v>0.1658337</v>
      </c>
      <c r="G16" s="132">
        <f t="shared" si="0"/>
        <v>0.95349739857279436</v>
      </c>
      <c r="H16" s="132">
        <f t="shared" si="1"/>
        <v>0.78766369857279439</v>
      </c>
      <c r="I16" s="132">
        <v>0.77713126324999937</v>
      </c>
      <c r="J16" s="132">
        <f t="shared" si="2"/>
        <v>-1.9175623887230635</v>
      </c>
      <c r="K16" s="132">
        <f t="shared" si="3"/>
        <v>-1.1298986901502692</v>
      </c>
    </row>
    <row r="17" spans="2:11" ht="13.9">
      <c r="B17" s="106">
        <v>10</v>
      </c>
      <c r="C17" s="10" t="s">
        <v>105</v>
      </c>
      <c r="D17" s="132">
        <v>2.65</v>
      </c>
      <c r="E17" s="190">
        <f>'F5'!H19</f>
        <v>5.1032071870330637E-4</v>
      </c>
      <c r="F17" s="140">
        <v>3.8583337000000002</v>
      </c>
      <c r="G17" s="132">
        <f t="shared" si="0"/>
        <v>3.577275942862145</v>
      </c>
      <c r="H17" s="132">
        <f t="shared" si="1"/>
        <v>-0.28105775713785519</v>
      </c>
      <c r="I17" s="132">
        <v>2.0778165526657705E-2</v>
      </c>
      <c r="J17" s="132">
        <f t="shared" si="2"/>
        <v>0.38615567549767482</v>
      </c>
      <c r="K17" s="132">
        <f t="shared" si="3"/>
        <v>0.10509791835981963</v>
      </c>
    </row>
    <row r="18" spans="2:11" ht="13.9">
      <c r="B18" s="106">
        <v>11</v>
      </c>
      <c r="C18" s="10" t="s">
        <v>106</v>
      </c>
      <c r="D18" s="132">
        <v>0</v>
      </c>
      <c r="E18" s="190">
        <f>'F5'!H20</f>
        <v>0</v>
      </c>
      <c r="F18" s="142">
        <v>0</v>
      </c>
      <c r="G18" s="132">
        <f t="shared" si="0"/>
        <v>0</v>
      </c>
      <c r="H18" s="132">
        <f t="shared" si="1"/>
        <v>0</v>
      </c>
      <c r="I18" s="132">
        <v>0</v>
      </c>
      <c r="J18" s="132">
        <f t="shared" si="2"/>
        <v>0</v>
      </c>
      <c r="K18" s="132">
        <f t="shared" si="3"/>
        <v>0</v>
      </c>
    </row>
    <row r="19" spans="2:11" ht="13.9">
      <c r="B19" s="106">
        <v>12</v>
      </c>
      <c r="C19" s="10" t="s">
        <v>107</v>
      </c>
      <c r="D19" s="132">
        <v>0</v>
      </c>
      <c r="E19" s="190">
        <f>'F5'!H21</f>
        <v>0</v>
      </c>
      <c r="F19" s="142">
        <v>0</v>
      </c>
      <c r="G19" s="132">
        <f t="shared" si="0"/>
        <v>0</v>
      </c>
      <c r="H19" s="132">
        <f t="shared" si="1"/>
        <v>0</v>
      </c>
      <c r="I19" s="132">
        <v>0</v>
      </c>
      <c r="J19" s="132">
        <f t="shared" si="2"/>
        <v>0</v>
      </c>
      <c r="K19" s="132">
        <f t="shared" si="3"/>
        <v>0</v>
      </c>
    </row>
    <row r="20" spans="2:11" ht="13.9">
      <c r="B20" s="106">
        <v>13</v>
      </c>
      <c r="C20" s="10" t="s">
        <v>246</v>
      </c>
      <c r="D20" s="132">
        <v>0</v>
      </c>
      <c r="E20" s="190">
        <f>'F5'!H22</f>
        <v>0</v>
      </c>
      <c r="F20" s="142">
        <v>0</v>
      </c>
      <c r="G20" s="132">
        <f t="shared" si="0"/>
        <v>0</v>
      </c>
      <c r="H20" s="132">
        <f t="shared" si="1"/>
        <v>0</v>
      </c>
      <c r="I20" s="132">
        <v>0</v>
      </c>
      <c r="J20" s="132">
        <f t="shared" si="2"/>
        <v>0</v>
      </c>
      <c r="K20" s="132">
        <f t="shared" si="3"/>
        <v>0</v>
      </c>
    </row>
    <row r="21" spans="2:11" ht="13.9">
      <c r="B21" s="106">
        <v>14</v>
      </c>
      <c r="C21" s="10" t="s">
        <v>109</v>
      </c>
      <c r="D21" s="132">
        <v>0</v>
      </c>
      <c r="E21" s="190">
        <f>'F5'!H23</f>
        <v>0</v>
      </c>
      <c r="F21" s="142">
        <v>0</v>
      </c>
      <c r="G21" s="132">
        <f t="shared" si="0"/>
        <v>0</v>
      </c>
      <c r="H21" s="132">
        <f t="shared" si="1"/>
        <v>0</v>
      </c>
      <c r="I21" s="132">
        <v>0</v>
      </c>
      <c r="J21" s="132">
        <f t="shared" si="2"/>
        <v>0</v>
      </c>
      <c r="K21" s="132">
        <f t="shared" si="3"/>
        <v>0</v>
      </c>
    </row>
    <row r="22" spans="2:11" ht="13.9">
      <c r="B22" s="106">
        <v>15</v>
      </c>
      <c r="C22" s="10" t="s">
        <v>110</v>
      </c>
      <c r="D22" s="132">
        <v>0</v>
      </c>
      <c r="E22" s="190">
        <f>'F5'!H24</f>
        <v>0</v>
      </c>
      <c r="F22" s="142">
        <v>0</v>
      </c>
      <c r="G22" s="132">
        <f t="shared" si="0"/>
        <v>0</v>
      </c>
      <c r="H22" s="132">
        <f t="shared" si="1"/>
        <v>0</v>
      </c>
      <c r="I22" s="132">
        <v>0</v>
      </c>
      <c r="J22" s="132">
        <f t="shared" si="2"/>
        <v>0</v>
      </c>
      <c r="K22" s="132">
        <f t="shared" si="3"/>
        <v>0</v>
      </c>
    </row>
    <row r="23" spans="2:11" ht="13.9">
      <c r="B23" s="106">
        <v>16</v>
      </c>
      <c r="C23" s="188" t="s">
        <v>289</v>
      </c>
      <c r="D23" s="132">
        <v>0</v>
      </c>
      <c r="E23" s="190" t="e">
        <f>'F5'!#REF!</f>
        <v>#REF!</v>
      </c>
      <c r="F23" s="142">
        <v>0</v>
      </c>
      <c r="G23" s="132" t="e">
        <f t="shared" si="0"/>
        <v>#REF!</v>
      </c>
      <c r="H23" s="132" t="e">
        <f t="shared" si="1"/>
        <v>#REF!</v>
      </c>
      <c r="I23" s="132">
        <v>0</v>
      </c>
      <c r="J23" s="132" t="e">
        <f t="shared" si="2"/>
        <v>#REF!</v>
      </c>
      <c r="K23" s="132" t="e">
        <f t="shared" si="3"/>
        <v>#REF!</v>
      </c>
    </row>
    <row r="24" spans="2:11" ht="13.9">
      <c r="B24" s="106">
        <v>17</v>
      </c>
      <c r="C24" s="188" t="s">
        <v>290</v>
      </c>
      <c r="D24" s="132">
        <v>0</v>
      </c>
      <c r="E24" s="190" t="e">
        <f>'F5'!#REF!</f>
        <v>#REF!</v>
      </c>
      <c r="F24" s="142">
        <v>0</v>
      </c>
      <c r="G24" s="132" t="e">
        <f t="shared" si="0"/>
        <v>#REF!</v>
      </c>
      <c r="H24" s="132" t="e">
        <f t="shared" si="1"/>
        <v>#REF!</v>
      </c>
      <c r="I24" s="132">
        <v>0</v>
      </c>
      <c r="J24" s="132" t="e">
        <f t="shared" si="2"/>
        <v>#REF!</v>
      </c>
      <c r="K24" s="132" t="e">
        <f t="shared" si="3"/>
        <v>#REF!</v>
      </c>
    </row>
    <row r="25" spans="2:11" ht="13.9">
      <c r="B25" s="106">
        <v>18</v>
      </c>
      <c r="C25" s="10" t="s">
        <v>291</v>
      </c>
      <c r="D25" s="132">
        <v>0</v>
      </c>
      <c r="E25" s="190">
        <f>'F5'!H25</f>
        <v>1</v>
      </c>
      <c r="F25" s="142">
        <v>0</v>
      </c>
      <c r="G25" s="132">
        <f t="shared" si="0"/>
        <v>7009.8583336999991</v>
      </c>
      <c r="H25" s="132">
        <f t="shared" si="1"/>
        <v>7009.8583336999991</v>
      </c>
      <c r="I25" s="132">
        <v>0</v>
      </c>
      <c r="J25" s="132">
        <f t="shared" si="2"/>
        <v>-10149.332314531457</v>
      </c>
      <c r="K25" s="132">
        <f t="shared" si="3"/>
        <v>-3139.473980831458</v>
      </c>
    </row>
    <row r="26" spans="2:11" ht="13.9">
      <c r="B26" s="137"/>
      <c r="C26" s="189" t="s">
        <v>191</v>
      </c>
      <c r="D26" s="139">
        <f>SUM(D8:D25)</f>
        <v>7019.06</v>
      </c>
      <c r="E26" s="138" t="e">
        <f>SUM(E8:E25)</f>
        <v>#REF!</v>
      </c>
      <c r="F26" s="139">
        <f>SUM(F8:F25)</f>
        <v>7009.8583336999991</v>
      </c>
      <c r="G26" s="139" t="e">
        <f>SUM(G8:G25)</f>
        <v>#REF!</v>
      </c>
      <c r="H26" s="139" t="e">
        <f t="shared" ref="H26:K26" si="4">SUM(H8:H25)</f>
        <v>#REF!</v>
      </c>
      <c r="I26" s="139">
        <f t="shared" si="4"/>
        <v>137.55436548429299</v>
      </c>
      <c r="J26" s="139" t="e">
        <f t="shared" si="4"/>
        <v>#REF!</v>
      </c>
      <c r="K26" s="139" t="e">
        <f t="shared" si="4"/>
        <v>#REF!</v>
      </c>
    </row>
    <row r="32" spans="2:11" ht="13.9">
      <c r="B32" s="415" t="s">
        <v>2</v>
      </c>
      <c r="C32" s="415" t="s">
        <v>82</v>
      </c>
      <c r="D32" s="415" t="s">
        <v>51</v>
      </c>
      <c r="E32" s="415"/>
      <c r="F32" s="415"/>
      <c r="G32" s="415"/>
      <c r="H32" s="415"/>
      <c r="I32" s="415"/>
      <c r="J32" s="415"/>
      <c r="K32" s="415"/>
    </row>
    <row r="33" spans="2:11" ht="13.9">
      <c r="B33" s="415"/>
      <c r="C33" s="415"/>
      <c r="D33" s="415" t="s">
        <v>292</v>
      </c>
      <c r="E33" s="415"/>
      <c r="F33" s="466" t="s">
        <v>56</v>
      </c>
      <c r="G33" s="467"/>
      <c r="H33" s="415" t="s">
        <v>230</v>
      </c>
      <c r="I33" s="415"/>
      <c r="J33" s="415"/>
      <c r="K33" s="415"/>
    </row>
    <row r="34" spans="2:11" ht="41.45">
      <c r="B34" s="415"/>
      <c r="C34" s="415"/>
      <c r="D34" s="127" t="s">
        <v>231</v>
      </c>
      <c r="E34" s="127" t="s">
        <v>189</v>
      </c>
      <c r="F34" s="127" t="s">
        <v>232</v>
      </c>
      <c r="G34" s="127" t="s">
        <v>233</v>
      </c>
      <c r="H34" s="127" t="s">
        <v>234</v>
      </c>
      <c r="I34" s="127" t="s">
        <v>235</v>
      </c>
      <c r="J34" s="50" t="s">
        <v>236</v>
      </c>
      <c r="K34" s="127" t="s">
        <v>200</v>
      </c>
    </row>
    <row r="35" spans="2:11" ht="13.9">
      <c r="B35" s="416"/>
      <c r="C35" s="416"/>
      <c r="D35" s="127" t="s">
        <v>201</v>
      </c>
      <c r="E35" s="127" t="s">
        <v>202</v>
      </c>
      <c r="F35" s="127" t="s">
        <v>237</v>
      </c>
      <c r="G35" s="127" t="s">
        <v>204</v>
      </c>
      <c r="H35" s="127" t="s">
        <v>238</v>
      </c>
      <c r="I35" s="127" t="s">
        <v>239</v>
      </c>
      <c r="J35" s="127" t="s">
        <v>240</v>
      </c>
      <c r="K35" s="127" t="s">
        <v>241</v>
      </c>
    </row>
    <row r="36" spans="2:11" ht="13.9">
      <c r="B36" s="106">
        <v>1</v>
      </c>
      <c r="C36" s="10" t="s">
        <v>96</v>
      </c>
      <c r="D36" s="132">
        <v>5782.39</v>
      </c>
      <c r="E36" s="192">
        <v>0.85850000000000004</v>
      </c>
      <c r="F36" s="140">
        <v>5877.2691673999998</v>
      </c>
      <c r="G36" s="132">
        <f>E36*$F$26</f>
        <v>6017.9633794814499</v>
      </c>
      <c r="H36" s="132">
        <f>G36-F36</f>
        <v>140.69421208145013</v>
      </c>
      <c r="I36" s="132">
        <v>133.76569135174995</v>
      </c>
      <c r="J36" s="132">
        <f>I36-H36</f>
        <v>-6.9285207297001818</v>
      </c>
      <c r="K36" s="132">
        <f>J36</f>
        <v>-6.9285207297001818</v>
      </c>
    </row>
    <row r="37" spans="2:11" ht="13.9">
      <c r="B37" s="106">
        <v>2</v>
      </c>
      <c r="C37" s="10" t="s">
        <v>97</v>
      </c>
      <c r="D37" s="132">
        <v>258.79000000000002</v>
      </c>
      <c r="E37" s="192">
        <v>3.3500000000000002E-2</v>
      </c>
      <c r="F37" s="140">
        <v>259.10583370000001</v>
      </c>
      <c r="G37" s="132">
        <f t="shared" ref="G37:G53" si="5">E37*$F$26</f>
        <v>234.83025417894999</v>
      </c>
      <c r="H37" s="132">
        <f t="shared" ref="H37:H53" si="6">G37-F37</f>
        <v>-24.27557952105002</v>
      </c>
      <c r="I37" s="132">
        <v>0.87181028882129086</v>
      </c>
      <c r="J37" s="132">
        <f>(-H37/$H$8)*$I$26-I37</f>
        <v>34.275964738598447</v>
      </c>
      <c r="K37" s="132">
        <f>H37+J37</f>
        <v>10.000385217548427</v>
      </c>
    </row>
    <row r="38" spans="2:11" ht="13.9">
      <c r="B38" s="106">
        <v>3</v>
      </c>
      <c r="C38" s="10" t="s">
        <v>98</v>
      </c>
      <c r="D38" s="132">
        <v>482.12</v>
      </c>
      <c r="E38" s="192">
        <v>5.9830000000000001E-2</v>
      </c>
      <c r="F38" s="140">
        <v>481.76333369999998</v>
      </c>
      <c r="G38" s="132">
        <f t="shared" si="5"/>
        <v>419.39982410527097</v>
      </c>
      <c r="H38" s="132">
        <f t="shared" si="6"/>
        <v>-62.36350959472901</v>
      </c>
      <c r="I38" s="132">
        <v>0.18763077305263656</v>
      </c>
      <c r="J38" s="132">
        <f t="shared" ref="J38:J53" si="7">(-H38/$H$8)*$I$26-I38</f>
        <v>90.106345659319572</v>
      </c>
      <c r="K38" s="132">
        <f t="shared" ref="K38:K53" si="8">H38+J38</f>
        <v>27.742836064590563</v>
      </c>
    </row>
    <row r="39" spans="2:11" ht="13.9">
      <c r="B39" s="106">
        <v>4</v>
      </c>
      <c r="C39" s="10" t="s">
        <v>99</v>
      </c>
      <c r="D39" s="132">
        <v>256.72000000000003</v>
      </c>
      <c r="E39" s="192">
        <v>3.0429999999999999E-2</v>
      </c>
      <c r="F39" s="140">
        <v>256.8266663</v>
      </c>
      <c r="G39" s="132">
        <f t="shared" si="5"/>
        <v>213.30998909449096</v>
      </c>
      <c r="H39" s="132">
        <f t="shared" si="6"/>
        <v>-43.516677205509041</v>
      </c>
      <c r="I39" s="132">
        <v>4.769039338306455E-2</v>
      </c>
      <c r="J39" s="132">
        <f t="shared" si="7"/>
        <v>62.958606903610111</v>
      </c>
      <c r="K39" s="132">
        <f t="shared" si="8"/>
        <v>19.44192969810107</v>
      </c>
    </row>
    <row r="40" spans="2:11" ht="13.9">
      <c r="B40" s="106">
        <v>5</v>
      </c>
      <c r="C40" s="10" t="s">
        <v>242</v>
      </c>
      <c r="D40" s="132">
        <v>121.09</v>
      </c>
      <c r="E40" s="192">
        <v>1.643E-2</v>
      </c>
      <c r="F40" s="140">
        <v>256.8266663</v>
      </c>
      <c r="G40" s="132">
        <f t="shared" si="5"/>
        <v>115.17197242269098</v>
      </c>
      <c r="H40" s="132">
        <f t="shared" si="6"/>
        <v>-141.654693877309</v>
      </c>
      <c r="I40" s="132">
        <v>1.8836332485094078</v>
      </c>
      <c r="J40" s="132">
        <f t="shared" si="7"/>
        <v>203.21331645192413</v>
      </c>
      <c r="K40" s="132">
        <f t="shared" si="8"/>
        <v>61.558622574615129</v>
      </c>
    </row>
    <row r="41" spans="2:11" ht="13.9">
      <c r="B41" s="106">
        <v>6</v>
      </c>
      <c r="C41" s="10" t="s">
        <v>243</v>
      </c>
      <c r="D41" s="132">
        <v>4.93</v>
      </c>
      <c r="E41" s="192">
        <v>3.4000000000000002E-4</v>
      </c>
      <c r="F41" s="140">
        <v>4.9391663000000001</v>
      </c>
      <c r="G41" s="132">
        <f t="shared" si="5"/>
        <v>2.3833518334579997</v>
      </c>
      <c r="H41" s="132">
        <f t="shared" si="6"/>
        <v>-2.5558144665420004</v>
      </c>
      <c r="I41" s="132">
        <v>0</v>
      </c>
      <c r="J41" s="132">
        <f t="shared" si="7"/>
        <v>3.7004756901456446</v>
      </c>
      <c r="K41" s="132">
        <f t="shared" si="8"/>
        <v>1.1446612236036442</v>
      </c>
    </row>
    <row r="42" spans="2:11" ht="13.9">
      <c r="B42" s="106">
        <v>7</v>
      </c>
      <c r="C42" s="10" t="s">
        <v>244</v>
      </c>
      <c r="D42" s="132">
        <v>2.5</v>
      </c>
      <c r="E42" s="192">
        <v>2.0000000000000001E-4</v>
      </c>
      <c r="F42" s="140">
        <v>2.5016663000000001</v>
      </c>
      <c r="G42" s="132">
        <f t="shared" si="5"/>
        <v>1.40197166674</v>
      </c>
      <c r="H42" s="132">
        <f t="shared" si="6"/>
        <v>-1.0996946332600002</v>
      </c>
      <c r="I42" s="132">
        <v>0</v>
      </c>
      <c r="J42" s="132">
        <f t="shared" si="7"/>
        <v>1.592209962903967</v>
      </c>
      <c r="K42" s="132">
        <f t="shared" si="8"/>
        <v>0.49251532964396683</v>
      </c>
    </row>
    <row r="43" spans="2:11" ht="13.9">
      <c r="B43" s="106">
        <v>8</v>
      </c>
      <c r="C43" s="10" t="s">
        <v>245</v>
      </c>
      <c r="D43" s="132">
        <v>3.86</v>
      </c>
      <c r="E43" s="192">
        <v>1.6000000000000001E-4</v>
      </c>
      <c r="F43" s="140">
        <v>2.5591662999999998</v>
      </c>
      <c r="G43" s="132">
        <f t="shared" si="5"/>
        <v>1.1215773333920001</v>
      </c>
      <c r="H43" s="132">
        <f t="shared" si="6"/>
        <v>-1.4375889666079997</v>
      </c>
      <c r="I43" s="132">
        <v>0</v>
      </c>
      <c r="J43" s="132">
        <f t="shared" si="7"/>
        <v>2.0814355239768654</v>
      </c>
      <c r="K43" s="132">
        <f t="shared" si="8"/>
        <v>0.64384655736886565</v>
      </c>
    </row>
    <row r="44" spans="2:11" ht="13.9">
      <c r="B44" s="106">
        <v>9</v>
      </c>
      <c r="C44" s="10" t="s">
        <v>104</v>
      </c>
      <c r="D44" s="132">
        <v>0.17</v>
      </c>
      <c r="E44" s="192">
        <v>1.2E-4</v>
      </c>
      <c r="F44" s="140">
        <v>0.1658337</v>
      </c>
      <c r="G44" s="132">
        <f t="shared" si="5"/>
        <v>0.84118300004399993</v>
      </c>
      <c r="H44" s="132">
        <f t="shared" si="6"/>
        <v>0.67534930004399996</v>
      </c>
      <c r="I44" s="132">
        <v>0.77713126324999937</v>
      </c>
      <c r="J44" s="132">
        <f t="shared" si="7"/>
        <v>-1.7549462415613877</v>
      </c>
      <c r="K44" s="132">
        <f t="shared" si="8"/>
        <v>-1.0795969415173876</v>
      </c>
    </row>
    <row r="45" spans="2:11" ht="13.9">
      <c r="B45" s="106">
        <v>10</v>
      </c>
      <c r="C45" s="10" t="s">
        <v>105</v>
      </c>
      <c r="D45" s="132">
        <v>2.65</v>
      </c>
      <c r="E45" s="192">
        <v>4.8999999999999998E-4</v>
      </c>
      <c r="F45" s="140">
        <v>3.8583337000000002</v>
      </c>
      <c r="G45" s="132">
        <f t="shared" si="5"/>
        <v>3.4348305835129995</v>
      </c>
      <c r="H45" s="132">
        <f t="shared" si="6"/>
        <v>-0.42350311648700067</v>
      </c>
      <c r="I45" s="132">
        <v>2.0778165526657705E-2</v>
      </c>
      <c r="J45" s="132">
        <f t="shared" si="7"/>
        <v>0.59239740248764572</v>
      </c>
      <c r="K45" s="132">
        <f t="shared" si="8"/>
        <v>0.16889428600064504</v>
      </c>
    </row>
    <row r="46" spans="2:11" ht="13.9">
      <c r="B46" s="106">
        <v>11</v>
      </c>
      <c r="C46" s="10" t="s">
        <v>106</v>
      </c>
      <c r="D46" s="132">
        <v>0</v>
      </c>
      <c r="E46" s="193">
        <f t="shared" ref="E46:E53" si="9">D46/$D$26</f>
        <v>0</v>
      </c>
      <c r="F46" s="142">
        <v>0</v>
      </c>
      <c r="G46" s="132">
        <f t="shared" si="5"/>
        <v>0</v>
      </c>
      <c r="H46" s="132">
        <f t="shared" si="6"/>
        <v>0</v>
      </c>
      <c r="I46" s="132">
        <v>0</v>
      </c>
      <c r="J46" s="132">
        <f t="shared" si="7"/>
        <v>0</v>
      </c>
      <c r="K46" s="132">
        <f t="shared" si="8"/>
        <v>0</v>
      </c>
    </row>
    <row r="47" spans="2:11" ht="13.9">
      <c r="B47" s="106">
        <v>12</v>
      </c>
      <c r="C47" s="10" t="s">
        <v>107</v>
      </c>
      <c r="D47" s="132">
        <v>0</v>
      </c>
      <c r="E47" s="193">
        <f t="shared" si="9"/>
        <v>0</v>
      </c>
      <c r="F47" s="142">
        <v>0</v>
      </c>
      <c r="G47" s="132">
        <f t="shared" si="5"/>
        <v>0</v>
      </c>
      <c r="H47" s="132">
        <f t="shared" si="6"/>
        <v>0</v>
      </c>
      <c r="I47" s="132">
        <v>0</v>
      </c>
      <c r="J47" s="132">
        <f t="shared" si="7"/>
        <v>0</v>
      </c>
      <c r="K47" s="132">
        <f t="shared" si="8"/>
        <v>0</v>
      </c>
    </row>
    <row r="48" spans="2:11" ht="13.9">
      <c r="B48" s="106">
        <v>13</v>
      </c>
      <c r="C48" s="10" t="s">
        <v>246</v>
      </c>
      <c r="D48" s="132">
        <v>0</v>
      </c>
      <c r="E48" s="193">
        <f t="shared" si="9"/>
        <v>0</v>
      </c>
      <c r="F48" s="142">
        <v>0</v>
      </c>
      <c r="G48" s="132">
        <f t="shared" si="5"/>
        <v>0</v>
      </c>
      <c r="H48" s="132">
        <f t="shared" si="6"/>
        <v>0</v>
      </c>
      <c r="I48" s="132">
        <v>0</v>
      </c>
      <c r="J48" s="132">
        <f t="shared" si="7"/>
        <v>0</v>
      </c>
      <c r="K48" s="132">
        <f t="shared" si="8"/>
        <v>0</v>
      </c>
    </row>
    <row r="49" spans="2:11" ht="13.9">
      <c r="B49" s="106">
        <v>14</v>
      </c>
      <c r="C49" s="10" t="s">
        <v>109</v>
      </c>
      <c r="D49" s="132">
        <v>0</v>
      </c>
      <c r="E49" s="193">
        <f t="shared" si="9"/>
        <v>0</v>
      </c>
      <c r="F49" s="142">
        <v>0</v>
      </c>
      <c r="G49" s="132">
        <f t="shared" si="5"/>
        <v>0</v>
      </c>
      <c r="H49" s="132">
        <f t="shared" si="6"/>
        <v>0</v>
      </c>
      <c r="I49" s="132">
        <v>0</v>
      </c>
      <c r="J49" s="132">
        <f t="shared" si="7"/>
        <v>0</v>
      </c>
      <c r="K49" s="132">
        <f t="shared" si="8"/>
        <v>0</v>
      </c>
    </row>
    <row r="50" spans="2:11" ht="13.9">
      <c r="B50" s="106">
        <v>15</v>
      </c>
      <c r="C50" s="10" t="s">
        <v>110</v>
      </c>
      <c r="D50" s="132">
        <v>0</v>
      </c>
      <c r="E50" s="193">
        <f t="shared" si="9"/>
        <v>0</v>
      </c>
      <c r="F50" s="142">
        <v>0</v>
      </c>
      <c r="G50" s="132">
        <f t="shared" si="5"/>
        <v>0</v>
      </c>
      <c r="H50" s="132">
        <f t="shared" si="6"/>
        <v>0</v>
      </c>
      <c r="I50" s="132">
        <v>0</v>
      </c>
      <c r="J50" s="132">
        <f t="shared" si="7"/>
        <v>0</v>
      </c>
      <c r="K50" s="132">
        <f t="shared" si="8"/>
        <v>0</v>
      </c>
    </row>
    <row r="51" spans="2:11" ht="13.9">
      <c r="B51" s="106">
        <v>16</v>
      </c>
      <c r="C51" s="188" t="s">
        <v>289</v>
      </c>
      <c r="D51" s="132">
        <v>0</v>
      </c>
      <c r="E51" s="193">
        <f t="shared" si="9"/>
        <v>0</v>
      </c>
      <c r="F51" s="142">
        <v>0</v>
      </c>
      <c r="G51" s="132">
        <f t="shared" si="5"/>
        <v>0</v>
      </c>
      <c r="H51" s="132">
        <f t="shared" si="6"/>
        <v>0</v>
      </c>
      <c r="I51" s="132">
        <v>0</v>
      </c>
      <c r="J51" s="132">
        <f t="shared" si="7"/>
        <v>0</v>
      </c>
      <c r="K51" s="132">
        <f t="shared" si="8"/>
        <v>0</v>
      </c>
    </row>
    <row r="52" spans="2:11" ht="13.9">
      <c r="B52" s="106">
        <v>17</v>
      </c>
      <c r="C52" s="188" t="s">
        <v>290</v>
      </c>
      <c r="D52" s="132">
        <v>0</v>
      </c>
      <c r="E52" s="193">
        <f t="shared" si="9"/>
        <v>0</v>
      </c>
      <c r="F52" s="142">
        <v>0</v>
      </c>
      <c r="G52" s="132">
        <f t="shared" si="5"/>
        <v>0</v>
      </c>
      <c r="H52" s="132">
        <f t="shared" si="6"/>
        <v>0</v>
      </c>
      <c r="I52" s="132">
        <v>0</v>
      </c>
      <c r="J52" s="132">
        <f t="shared" si="7"/>
        <v>0</v>
      </c>
      <c r="K52" s="132">
        <f t="shared" si="8"/>
        <v>0</v>
      </c>
    </row>
    <row r="53" spans="2:11" ht="13.9">
      <c r="B53" s="106">
        <v>18</v>
      </c>
      <c r="C53" s="10" t="s">
        <v>291</v>
      </c>
      <c r="D53" s="132">
        <v>0</v>
      </c>
      <c r="E53" s="193">
        <f t="shared" si="9"/>
        <v>0</v>
      </c>
      <c r="F53" s="142">
        <v>0</v>
      </c>
      <c r="G53" s="132">
        <f t="shared" si="5"/>
        <v>0</v>
      </c>
      <c r="H53" s="132">
        <f t="shared" si="6"/>
        <v>0</v>
      </c>
      <c r="I53" s="132">
        <v>0</v>
      </c>
      <c r="J53" s="132">
        <f t="shared" si="7"/>
        <v>0</v>
      </c>
      <c r="K53" s="132">
        <f t="shared" si="8"/>
        <v>0</v>
      </c>
    </row>
    <row r="54" spans="2:11" ht="13.9">
      <c r="B54" s="137"/>
      <c r="C54" s="189" t="s">
        <v>191</v>
      </c>
      <c r="D54" s="139">
        <f>SUM(D36:D53)</f>
        <v>6915.22</v>
      </c>
      <c r="E54" s="138">
        <f>SUM(E36:E53)</f>
        <v>1.0000000000000002</v>
      </c>
      <c r="F54" s="139">
        <f>SUM(F36:F53)</f>
        <v>7145.8158336999995</v>
      </c>
      <c r="G54" s="139">
        <f>SUM(G36:G53)</f>
        <v>7009.8583337000009</v>
      </c>
      <c r="H54" s="139">
        <f t="shared" ref="H54:K54" si="10">SUM(H36:H53)</f>
        <v>-135.95749999999992</v>
      </c>
      <c r="I54" s="139">
        <f t="shared" si="10"/>
        <v>137.55436548429299</v>
      </c>
      <c r="J54" s="139">
        <f t="shared" si="10"/>
        <v>389.83728536170474</v>
      </c>
      <c r="K54" s="139">
        <f t="shared" si="10"/>
        <v>113.18557328025473</v>
      </c>
    </row>
  </sheetData>
  <mergeCells count="12">
    <mergeCell ref="B32:B35"/>
    <mergeCell ref="C32:C35"/>
    <mergeCell ref="D32:K32"/>
    <mergeCell ref="D33:E33"/>
    <mergeCell ref="F33:G33"/>
    <mergeCell ref="H33:K33"/>
    <mergeCell ref="B4:B7"/>
    <mergeCell ref="C4:C7"/>
    <mergeCell ref="D4:K4"/>
    <mergeCell ref="D5:E5"/>
    <mergeCell ref="F5:G5"/>
    <mergeCell ref="H5:K5"/>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13A68-2E53-4734-A649-D6F33B43092F}">
  <dimension ref="B2:H17"/>
  <sheetViews>
    <sheetView workbookViewId="0">
      <selection activeCell="C30" sqref="C30"/>
    </sheetView>
  </sheetViews>
  <sheetFormatPr defaultRowHeight="13.15"/>
  <cols>
    <col min="2" max="2" width="5.7109375" bestFit="1" customWidth="1"/>
    <col min="3" max="3" width="37.5703125" customWidth="1"/>
    <col min="4" max="8" width="19.28515625" customWidth="1"/>
  </cols>
  <sheetData>
    <row r="2" spans="2:8" ht="27.6">
      <c r="B2" s="50" t="s">
        <v>293</v>
      </c>
      <c r="C2" s="50" t="s">
        <v>294</v>
      </c>
      <c r="D2" s="50" t="s">
        <v>295</v>
      </c>
      <c r="E2" s="50" t="s">
        <v>296</v>
      </c>
      <c r="F2" s="50" t="s">
        <v>297</v>
      </c>
      <c r="G2" s="50" t="s">
        <v>298</v>
      </c>
      <c r="H2" s="50" t="s">
        <v>299</v>
      </c>
    </row>
    <row r="3" spans="2:8" ht="13.9">
      <c r="B3" s="68">
        <v>1</v>
      </c>
      <c r="C3" s="78" t="s">
        <v>96</v>
      </c>
      <c r="D3" s="137"/>
      <c r="E3" s="137"/>
      <c r="F3" s="137"/>
      <c r="G3" s="137"/>
      <c r="H3" s="137"/>
    </row>
    <row r="4" spans="2:8" ht="13.9">
      <c r="B4" s="68">
        <v>2</v>
      </c>
      <c r="C4" s="78" t="s">
        <v>97</v>
      </c>
      <c r="D4" s="137"/>
      <c r="E4" s="137"/>
      <c r="F4" s="137"/>
      <c r="G4" s="137"/>
      <c r="H4" s="137"/>
    </row>
    <row r="5" spans="2:8" ht="13.9">
      <c r="B5" s="68">
        <v>3</v>
      </c>
      <c r="C5" s="78" t="s">
        <v>98</v>
      </c>
      <c r="D5" s="137"/>
      <c r="E5" s="137"/>
      <c r="F5" s="137"/>
      <c r="G5" s="137"/>
      <c r="H5" s="137"/>
    </row>
    <row r="6" spans="2:8" ht="13.9">
      <c r="B6" s="68">
        <v>4</v>
      </c>
      <c r="C6" s="78" t="s">
        <v>99</v>
      </c>
      <c r="D6" s="137"/>
      <c r="E6" s="137"/>
      <c r="F6" s="137"/>
      <c r="G6" s="137"/>
      <c r="H6" s="137"/>
    </row>
    <row r="7" spans="2:8" ht="13.9">
      <c r="B7" s="68">
        <v>5</v>
      </c>
      <c r="C7" s="78" t="s">
        <v>100</v>
      </c>
      <c r="D7" s="137"/>
      <c r="E7" s="137"/>
      <c r="F7" s="137"/>
      <c r="G7" s="137"/>
      <c r="H7" s="137"/>
    </row>
    <row r="8" spans="2:8" ht="13.9">
      <c r="B8" s="68">
        <v>6</v>
      </c>
      <c r="C8" s="78" t="s">
        <v>300</v>
      </c>
      <c r="D8" s="137"/>
      <c r="E8" s="137"/>
      <c r="F8" s="137"/>
      <c r="G8" s="137"/>
      <c r="H8" s="137"/>
    </row>
    <row r="9" spans="2:8" ht="13.9">
      <c r="B9" s="68">
        <v>7</v>
      </c>
      <c r="C9" s="78" t="s">
        <v>301</v>
      </c>
      <c r="D9" s="137"/>
      <c r="E9" s="137"/>
      <c r="F9" s="137"/>
      <c r="G9" s="137"/>
      <c r="H9" s="137"/>
    </row>
    <row r="10" spans="2:8" ht="13.9">
      <c r="B10" s="68">
        <v>8</v>
      </c>
      <c r="C10" s="78" t="s">
        <v>302</v>
      </c>
      <c r="D10" s="137"/>
      <c r="E10" s="137"/>
      <c r="F10" s="137"/>
      <c r="G10" s="137"/>
      <c r="H10" s="137"/>
    </row>
    <row r="11" spans="2:8" ht="13.9">
      <c r="B11" s="68">
        <v>9</v>
      </c>
      <c r="C11" s="78" t="s">
        <v>104</v>
      </c>
      <c r="D11" s="137"/>
      <c r="E11" s="137"/>
      <c r="F11" s="137"/>
      <c r="G11" s="137"/>
      <c r="H11" s="137"/>
    </row>
    <row r="12" spans="2:8" ht="13.9">
      <c r="B12" s="68">
        <v>10</v>
      </c>
      <c r="C12" s="78" t="s">
        <v>105</v>
      </c>
      <c r="D12" s="137"/>
      <c r="E12" s="137"/>
      <c r="F12" s="137"/>
      <c r="G12" s="137"/>
      <c r="H12" s="137"/>
    </row>
    <row r="13" spans="2:8" ht="13.9">
      <c r="B13" s="68">
        <v>11</v>
      </c>
      <c r="C13" s="78" t="s">
        <v>106</v>
      </c>
      <c r="D13" s="137"/>
      <c r="E13" s="137"/>
      <c r="F13" s="137"/>
      <c r="G13" s="137"/>
      <c r="H13" s="137"/>
    </row>
    <row r="14" spans="2:8" ht="13.9">
      <c r="B14" s="68">
        <v>12</v>
      </c>
      <c r="C14" s="78" t="s">
        <v>107</v>
      </c>
      <c r="D14" s="137"/>
      <c r="E14" s="137"/>
      <c r="F14" s="137"/>
      <c r="G14" s="137"/>
      <c r="H14" s="137"/>
    </row>
    <row r="15" spans="2:8" ht="13.9">
      <c r="B15" s="68">
        <v>13</v>
      </c>
      <c r="C15" s="78" t="s">
        <v>246</v>
      </c>
      <c r="D15" s="137"/>
      <c r="E15" s="137"/>
      <c r="F15" s="137"/>
      <c r="G15" s="137"/>
      <c r="H15" s="137"/>
    </row>
    <row r="16" spans="2:8" ht="13.9">
      <c r="B16" s="68">
        <v>14</v>
      </c>
      <c r="C16" s="78" t="s">
        <v>109</v>
      </c>
      <c r="D16" s="137"/>
      <c r="E16" s="137"/>
      <c r="F16" s="137"/>
      <c r="G16" s="137"/>
      <c r="H16" s="137"/>
    </row>
    <row r="17" spans="2:8" ht="13.9">
      <c r="B17" s="137"/>
      <c r="C17" s="79" t="s">
        <v>191</v>
      </c>
      <c r="D17" s="137"/>
      <c r="E17" s="137"/>
      <c r="F17" s="137"/>
      <c r="G17" s="137"/>
      <c r="H17" s="13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B6229-991E-4760-BC8D-1F98E9BDA482}">
  <dimension ref="A1:Q31"/>
  <sheetViews>
    <sheetView topLeftCell="A14" zoomScale="107" workbookViewId="0">
      <selection activeCell="B27" sqref="B27"/>
    </sheetView>
  </sheetViews>
  <sheetFormatPr defaultColWidth="8.85546875" defaultRowHeight="13.15"/>
  <cols>
    <col min="1" max="1" width="7.140625" style="129" bestFit="1" customWidth="1"/>
    <col min="2" max="2" width="28.5703125" style="128" customWidth="1"/>
    <col min="3" max="5" width="18.140625" style="128" customWidth="1"/>
    <col min="6" max="8" width="20.5703125" style="128" customWidth="1"/>
    <col min="9" max="9" width="20.5703125" style="128" bestFit="1" customWidth="1"/>
    <col min="10" max="11" width="20.5703125" style="128" customWidth="1"/>
    <col min="12" max="12" width="20.5703125" style="128" bestFit="1" customWidth="1"/>
    <col min="13" max="14" width="20.5703125" style="128" customWidth="1"/>
    <col min="15" max="15" width="20.5703125" style="128" bestFit="1" customWidth="1"/>
    <col min="16" max="17" width="20.5703125" style="128" customWidth="1"/>
    <col min="18" max="21" width="20.5703125" style="128" bestFit="1" customWidth="1"/>
    <col min="22" max="16384" width="8.85546875" style="128"/>
  </cols>
  <sheetData>
    <row r="1" spans="1:17">
      <c r="Q1" s="128" t="s">
        <v>228</v>
      </c>
    </row>
    <row r="2" spans="1:17" ht="13.9">
      <c r="A2" s="50" t="s">
        <v>2</v>
      </c>
      <c r="B2" s="127" t="s">
        <v>303</v>
      </c>
      <c r="C2" s="415" t="s">
        <v>26</v>
      </c>
      <c r="D2" s="415"/>
      <c r="E2" s="415"/>
      <c r="F2" s="415" t="s">
        <v>27</v>
      </c>
      <c r="G2" s="415"/>
      <c r="H2" s="415"/>
      <c r="I2" s="415" t="s">
        <v>28</v>
      </c>
      <c r="J2" s="415"/>
      <c r="K2" s="415"/>
      <c r="L2" s="415" t="s">
        <v>29</v>
      </c>
      <c r="M2" s="415"/>
      <c r="N2" s="415"/>
      <c r="O2" s="415" t="s">
        <v>30</v>
      </c>
      <c r="P2" s="415"/>
      <c r="Q2" s="415"/>
    </row>
    <row r="3" spans="1:17" ht="22.9">
      <c r="A3" s="50"/>
      <c r="B3" s="127"/>
      <c r="C3" s="130" t="s">
        <v>304</v>
      </c>
      <c r="D3" s="130" t="s">
        <v>305</v>
      </c>
      <c r="E3" s="130" t="s">
        <v>306</v>
      </c>
      <c r="F3" s="130" t="s">
        <v>304</v>
      </c>
      <c r="G3" s="130" t="s">
        <v>305</v>
      </c>
      <c r="H3" s="130" t="s">
        <v>306</v>
      </c>
      <c r="I3" s="130" t="s">
        <v>304</v>
      </c>
      <c r="J3" s="130" t="s">
        <v>305</v>
      </c>
      <c r="K3" s="130" t="s">
        <v>306</v>
      </c>
      <c r="L3" s="130" t="s">
        <v>304</v>
      </c>
      <c r="M3" s="130" t="s">
        <v>305</v>
      </c>
      <c r="N3" s="130" t="s">
        <v>306</v>
      </c>
      <c r="O3" s="130" t="s">
        <v>304</v>
      </c>
      <c r="P3" s="130" t="s">
        <v>305</v>
      </c>
      <c r="Q3" s="130" t="s">
        <v>306</v>
      </c>
    </row>
    <row r="4" spans="1:17" ht="15.6">
      <c r="A4" s="131">
        <v>1</v>
      </c>
      <c r="B4" s="77" t="s">
        <v>32</v>
      </c>
      <c r="C4" s="132">
        <v>7422.62</v>
      </c>
      <c r="D4" s="132">
        <v>890.15</v>
      </c>
      <c r="E4" s="132">
        <f>C4+D4</f>
        <v>8312.77</v>
      </c>
      <c r="F4" s="132">
        <v>8828.08</v>
      </c>
      <c r="G4" s="132">
        <v>0</v>
      </c>
      <c r="H4" s="132">
        <f>F4+G4</f>
        <v>8828.08</v>
      </c>
      <c r="I4" s="132">
        <v>10129.629999999999</v>
      </c>
      <c r="J4" s="132">
        <v>0</v>
      </c>
      <c r="K4" s="132">
        <f>I4+J4</f>
        <v>10129.629999999999</v>
      </c>
      <c r="L4" s="132">
        <v>11036.76</v>
      </c>
      <c r="M4" s="132">
        <v>0</v>
      </c>
      <c r="N4" s="132">
        <f>L4+M4</f>
        <v>11036.76</v>
      </c>
      <c r="O4" s="132">
        <v>11791.15</v>
      </c>
      <c r="P4" s="132">
        <v>0</v>
      </c>
      <c r="Q4" s="132">
        <f>O4+P4</f>
        <v>11791.15</v>
      </c>
    </row>
    <row r="5" spans="1:17" ht="15.6">
      <c r="A5" s="131">
        <v>2</v>
      </c>
      <c r="B5" s="77" t="s">
        <v>34</v>
      </c>
      <c r="C5" s="132">
        <v>98.44</v>
      </c>
      <c r="D5" s="132">
        <f>3.45+1.07+6.52+1.35+0.77</f>
        <v>13.159999999999998</v>
      </c>
      <c r="E5" s="132">
        <v>111.61</v>
      </c>
      <c r="F5" s="132">
        <v>66.44</v>
      </c>
      <c r="G5" s="132">
        <v>0</v>
      </c>
      <c r="H5" s="132">
        <f t="shared" ref="H5:H12" si="0">F5+G5</f>
        <v>66.44</v>
      </c>
      <c r="I5" s="132">
        <v>66.95</v>
      </c>
      <c r="J5" s="132">
        <v>0</v>
      </c>
      <c r="K5" s="132">
        <f t="shared" ref="K5:K12" si="1">I5+J5</f>
        <v>66.95</v>
      </c>
      <c r="L5" s="132">
        <v>67.58</v>
      </c>
      <c r="M5" s="132">
        <v>0</v>
      </c>
      <c r="N5" s="132">
        <f t="shared" ref="N5:N12" si="2">L5+M5</f>
        <v>67.58</v>
      </c>
      <c r="O5" s="132">
        <v>68.290000000000006</v>
      </c>
      <c r="P5" s="132">
        <v>0</v>
      </c>
      <c r="Q5" s="132">
        <f t="shared" ref="Q5:Q12" si="3">O5+P5</f>
        <v>68.290000000000006</v>
      </c>
    </row>
    <row r="6" spans="1:17" ht="15.6">
      <c r="A6" s="131">
        <v>3</v>
      </c>
      <c r="B6" s="77" t="s">
        <v>36</v>
      </c>
      <c r="C6" s="132">
        <v>836.96</v>
      </c>
      <c r="D6" s="132">
        <f>45.26+20.74+284.44+58.9+16.4+22.82</f>
        <v>448.55999999999995</v>
      </c>
      <c r="E6" s="132">
        <f t="shared" ref="E6:E12" si="4">C6+D6</f>
        <v>1285.52</v>
      </c>
      <c r="F6" s="132">
        <v>874.89</v>
      </c>
      <c r="G6" s="132">
        <v>0</v>
      </c>
      <c r="H6" s="132">
        <f t="shared" si="0"/>
        <v>874.89</v>
      </c>
      <c r="I6" s="132">
        <v>833.99</v>
      </c>
      <c r="J6" s="132">
        <v>0</v>
      </c>
      <c r="K6" s="132">
        <f t="shared" si="1"/>
        <v>833.99</v>
      </c>
      <c r="L6" s="132">
        <v>822.11</v>
      </c>
      <c r="M6" s="132">
        <v>0</v>
      </c>
      <c r="N6" s="132">
        <f t="shared" si="2"/>
        <v>822.11</v>
      </c>
      <c r="O6" s="132">
        <v>811.09</v>
      </c>
      <c r="P6" s="132">
        <v>0</v>
      </c>
      <c r="Q6" s="132">
        <f t="shared" si="3"/>
        <v>811.09</v>
      </c>
    </row>
    <row r="7" spans="1:17" ht="15.6">
      <c r="A7" s="131">
        <v>4</v>
      </c>
      <c r="B7" s="21" t="s">
        <v>38</v>
      </c>
      <c r="C7" s="136">
        <v>5.443303758340476</v>
      </c>
      <c r="D7" s="136">
        <v>0</v>
      </c>
      <c r="E7" s="136">
        <f>C7+D7</f>
        <v>5.443303758340476</v>
      </c>
      <c r="F7" s="136">
        <v>3.6594004663834525</v>
      </c>
      <c r="G7" s="136">
        <v>0</v>
      </c>
      <c r="H7" s="136">
        <f>F7+G7</f>
        <v>3.6594004663834525</v>
      </c>
      <c r="I7" s="136">
        <v>3.5666735518962978</v>
      </c>
      <c r="J7" s="136">
        <v>0</v>
      </c>
      <c r="K7" s="136">
        <f>I7+J7</f>
        <v>3.5666735518962978</v>
      </c>
      <c r="L7" s="136">
        <v>2.61</v>
      </c>
      <c r="M7" s="136">
        <v>0</v>
      </c>
      <c r="N7" s="136">
        <f>L7+M7</f>
        <v>2.61</v>
      </c>
      <c r="O7" s="136">
        <v>2.62</v>
      </c>
      <c r="P7" s="136">
        <v>0</v>
      </c>
      <c r="Q7" s="136">
        <f>O7+P7</f>
        <v>2.62</v>
      </c>
    </row>
    <row r="8" spans="1:17" ht="15.6">
      <c r="A8" s="131">
        <v>5</v>
      </c>
      <c r="B8" s="77" t="s">
        <v>40</v>
      </c>
      <c r="C8" s="132">
        <v>581.08000000000004</v>
      </c>
      <c r="D8" s="132">
        <f>22.54+5.16+18.1+3.75+4.19</f>
        <v>53.739999999999995</v>
      </c>
      <c r="E8" s="132">
        <f t="shared" si="4"/>
        <v>634.82000000000005</v>
      </c>
      <c r="F8" s="132">
        <v>653.39</v>
      </c>
      <c r="G8" s="132">
        <v>0</v>
      </c>
      <c r="H8" s="132">
        <f t="shared" si="0"/>
        <v>653.39</v>
      </c>
      <c r="I8" s="132">
        <v>849.26</v>
      </c>
      <c r="J8" s="132">
        <v>0</v>
      </c>
      <c r="K8" s="132">
        <f t="shared" si="1"/>
        <v>849.26</v>
      </c>
      <c r="L8" s="132">
        <v>1199.82</v>
      </c>
      <c r="M8" s="132">
        <v>0</v>
      </c>
      <c r="N8" s="132">
        <f t="shared" si="2"/>
        <v>1199.82</v>
      </c>
      <c r="O8" s="132">
        <v>1586.12</v>
      </c>
      <c r="P8" s="132">
        <v>0</v>
      </c>
      <c r="Q8" s="132">
        <f t="shared" si="3"/>
        <v>1586.12</v>
      </c>
    </row>
    <row r="9" spans="1:17" ht="15.6">
      <c r="A9" s="131">
        <v>6</v>
      </c>
      <c r="B9" s="21" t="s">
        <v>42</v>
      </c>
      <c r="C9" s="132">
        <v>1336.57</v>
      </c>
      <c r="D9" s="132">
        <f>66.77+8.43+370.84</f>
        <v>446.03999999999996</v>
      </c>
      <c r="E9" s="132">
        <f t="shared" si="4"/>
        <v>1782.61</v>
      </c>
      <c r="F9" s="132">
        <v>1849.79</v>
      </c>
      <c r="G9" s="132">
        <v>0</v>
      </c>
      <c r="H9" s="132">
        <f t="shared" si="0"/>
        <v>1849.79</v>
      </c>
      <c r="I9" s="132">
        <v>2361.41</v>
      </c>
      <c r="J9" s="132">
        <v>0</v>
      </c>
      <c r="K9" s="132">
        <f t="shared" si="1"/>
        <v>2361.41</v>
      </c>
      <c r="L9" s="132">
        <v>2563.41</v>
      </c>
      <c r="M9" s="132">
        <v>0</v>
      </c>
      <c r="N9" s="132">
        <f t="shared" si="2"/>
        <v>2563.41</v>
      </c>
      <c r="O9" s="132">
        <v>2738.86</v>
      </c>
      <c r="P9" s="132">
        <v>0</v>
      </c>
      <c r="Q9" s="132">
        <f t="shared" si="3"/>
        <v>2738.86</v>
      </c>
    </row>
    <row r="10" spans="1:17" ht="15.6">
      <c r="A10" s="131">
        <v>7</v>
      </c>
      <c r="B10" s="77" t="s">
        <v>44</v>
      </c>
      <c r="C10" s="132">
        <v>43.59</v>
      </c>
      <c r="D10" s="132">
        <f>1.51+1.4+0.63+0.75</f>
        <v>4.29</v>
      </c>
      <c r="E10" s="132">
        <f t="shared" si="4"/>
        <v>47.88</v>
      </c>
      <c r="F10" s="132">
        <v>43.63</v>
      </c>
      <c r="G10" s="132">
        <v>0</v>
      </c>
      <c r="H10" s="132">
        <f t="shared" si="0"/>
        <v>43.63</v>
      </c>
      <c r="I10" s="132">
        <v>43.42</v>
      </c>
      <c r="J10" s="132">
        <v>0</v>
      </c>
      <c r="K10" s="132">
        <f t="shared" si="1"/>
        <v>43.42</v>
      </c>
      <c r="L10" s="132">
        <v>43.54</v>
      </c>
      <c r="M10" s="132">
        <v>0</v>
      </c>
      <c r="N10" s="132">
        <f t="shared" si="2"/>
        <v>43.54</v>
      </c>
      <c r="O10" s="132">
        <v>43.75</v>
      </c>
      <c r="P10" s="132">
        <v>0</v>
      </c>
      <c r="Q10" s="132">
        <f t="shared" si="3"/>
        <v>43.75</v>
      </c>
    </row>
    <row r="11" spans="1:17" ht="15.6">
      <c r="A11" s="131">
        <v>8</v>
      </c>
      <c r="B11" s="77" t="s">
        <v>46</v>
      </c>
      <c r="C11" s="132">
        <v>38.799999999999997</v>
      </c>
      <c r="D11" s="132">
        <f>0.45-0.69+3.45+0.31+0.51</f>
        <v>4.03</v>
      </c>
      <c r="E11" s="132">
        <v>42.82</v>
      </c>
      <c r="F11" s="132">
        <v>37.43</v>
      </c>
      <c r="G11" s="132">
        <v>0</v>
      </c>
      <c r="H11" s="132">
        <f t="shared" si="0"/>
        <v>37.43</v>
      </c>
      <c r="I11" s="132">
        <v>36.31</v>
      </c>
      <c r="J11" s="132">
        <v>0</v>
      </c>
      <c r="K11" s="132">
        <f t="shared" si="1"/>
        <v>36.31</v>
      </c>
      <c r="L11" s="132">
        <v>34.85</v>
      </c>
      <c r="M11" s="132">
        <v>0</v>
      </c>
      <c r="N11" s="132">
        <f t="shared" si="2"/>
        <v>34.85</v>
      </c>
      <c r="O11" s="132">
        <v>23.57</v>
      </c>
      <c r="P11" s="132">
        <v>0</v>
      </c>
      <c r="Q11" s="132">
        <f t="shared" si="3"/>
        <v>23.57</v>
      </c>
    </row>
    <row r="12" spans="1:17" ht="15.6">
      <c r="A12" s="131">
        <v>9</v>
      </c>
      <c r="B12" s="20" t="s">
        <v>48</v>
      </c>
      <c r="C12" s="132">
        <v>302.5</v>
      </c>
      <c r="D12" s="132">
        <v>0</v>
      </c>
      <c r="E12" s="132">
        <f t="shared" si="4"/>
        <v>302.5</v>
      </c>
      <c r="F12" s="132">
        <v>302.5</v>
      </c>
      <c r="G12" s="132">
        <v>0</v>
      </c>
      <c r="H12" s="132">
        <f t="shared" si="0"/>
        <v>302.5</v>
      </c>
      <c r="I12" s="132">
        <v>302.5</v>
      </c>
      <c r="J12" s="132">
        <v>0</v>
      </c>
      <c r="K12" s="132">
        <f t="shared" si="1"/>
        <v>302.5</v>
      </c>
      <c r="L12" s="132">
        <v>212.05</v>
      </c>
      <c r="M12" s="132">
        <v>0</v>
      </c>
      <c r="N12" s="132">
        <f t="shared" si="2"/>
        <v>212.05</v>
      </c>
      <c r="O12" s="132">
        <v>212.05</v>
      </c>
      <c r="P12" s="132">
        <v>0</v>
      </c>
      <c r="Q12" s="132">
        <f t="shared" si="3"/>
        <v>212.05</v>
      </c>
    </row>
    <row r="13" spans="1:17" ht="55.15">
      <c r="A13" s="131"/>
      <c r="B13" s="135" t="s">
        <v>50</v>
      </c>
      <c r="C13" s="133"/>
      <c r="D13" s="133"/>
      <c r="E13" s="134">
        <f>SUM(E4:E12)</f>
        <v>12525.973303758341</v>
      </c>
      <c r="F13" s="133"/>
      <c r="G13" s="133"/>
      <c r="H13" s="134">
        <f>SUM(H4:H12)</f>
        <v>12659.809400466382</v>
      </c>
      <c r="I13" s="133"/>
      <c r="J13" s="133"/>
      <c r="K13" s="134">
        <f>SUM(K4:K12)</f>
        <v>14627.036673551896</v>
      </c>
      <c r="L13" s="133"/>
      <c r="M13" s="133"/>
      <c r="N13" s="134">
        <f>SUM(N4:N12)</f>
        <v>15982.730000000001</v>
      </c>
      <c r="O13" s="133"/>
      <c r="P13" s="133"/>
      <c r="Q13" s="134">
        <f>SUM(Q4:Q12)</f>
        <v>17277.5</v>
      </c>
    </row>
    <row r="19" spans="1:17">
      <c r="A19" s="275" t="s">
        <v>307</v>
      </c>
    </row>
    <row r="20" spans="1:17" ht="13.9">
      <c r="A20" s="50" t="s">
        <v>2</v>
      </c>
      <c r="B20" s="127" t="s">
        <v>303</v>
      </c>
      <c r="C20" s="415" t="s">
        <v>26</v>
      </c>
      <c r="D20" s="415"/>
      <c r="E20" s="415"/>
      <c r="F20" s="415" t="s">
        <v>27</v>
      </c>
      <c r="G20" s="415"/>
      <c r="H20" s="415"/>
      <c r="I20" s="415" t="s">
        <v>28</v>
      </c>
      <c r="J20" s="415"/>
      <c r="K20" s="415"/>
      <c r="L20" s="415" t="s">
        <v>29</v>
      </c>
      <c r="M20" s="415"/>
      <c r="N20" s="415"/>
      <c r="O20" s="415" t="s">
        <v>30</v>
      </c>
      <c r="P20" s="415"/>
      <c r="Q20" s="415"/>
    </row>
    <row r="21" spans="1:17" ht="22.9">
      <c r="A21" s="50"/>
      <c r="B21" s="127"/>
      <c r="C21" s="130" t="s">
        <v>304</v>
      </c>
      <c r="D21" s="130" t="s">
        <v>305</v>
      </c>
      <c r="E21" s="130" t="s">
        <v>306</v>
      </c>
      <c r="F21" s="130" t="s">
        <v>304</v>
      </c>
      <c r="G21" s="130" t="s">
        <v>305</v>
      </c>
      <c r="H21" s="130" t="s">
        <v>306</v>
      </c>
      <c r="I21" s="130" t="s">
        <v>304</v>
      </c>
      <c r="J21" s="130" t="s">
        <v>305</v>
      </c>
      <c r="K21" s="130" t="s">
        <v>306</v>
      </c>
      <c r="L21" s="130" t="s">
        <v>304</v>
      </c>
      <c r="M21" s="130" t="s">
        <v>305</v>
      </c>
      <c r="N21" s="130" t="s">
        <v>306</v>
      </c>
      <c r="O21" s="130" t="s">
        <v>304</v>
      </c>
      <c r="P21" s="130" t="s">
        <v>305</v>
      </c>
      <c r="Q21" s="130" t="s">
        <v>306</v>
      </c>
    </row>
    <row r="22" spans="1:17" ht="15.6">
      <c r="A22" s="131">
        <v>1</v>
      </c>
      <c r="B22" s="77" t="s">
        <v>32</v>
      </c>
      <c r="C22" s="276">
        <v>7018.69</v>
      </c>
      <c r="D22" s="276">
        <v>599.77</v>
      </c>
      <c r="E22" s="276">
        <f>C22+D22</f>
        <v>7618.4599999999991</v>
      </c>
      <c r="F22" s="276">
        <v>8146.77</v>
      </c>
      <c r="G22" s="276">
        <v>0</v>
      </c>
      <c r="H22" s="276">
        <f>F22+G22</f>
        <v>8146.77</v>
      </c>
      <c r="I22" s="276">
        <v>9482.4500000000007</v>
      </c>
      <c r="J22" s="276">
        <v>0</v>
      </c>
      <c r="K22" s="276">
        <f>I22+J22</f>
        <v>9482.4500000000007</v>
      </c>
      <c r="L22" s="276">
        <v>10694.93</v>
      </c>
      <c r="M22" s="276">
        <v>0</v>
      </c>
      <c r="N22" s="276">
        <f>L22+M22</f>
        <v>10694.93</v>
      </c>
      <c r="O22" s="276">
        <v>11469.14</v>
      </c>
      <c r="P22" s="276">
        <v>0</v>
      </c>
      <c r="Q22" s="276">
        <f>O22+P22</f>
        <v>11469.14</v>
      </c>
    </row>
    <row r="23" spans="1:17" ht="15.6">
      <c r="A23" s="131">
        <v>2</v>
      </c>
      <c r="B23" s="77" t="s">
        <v>34</v>
      </c>
      <c r="C23" s="276">
        <v>98.44</v>
      </c>
      <c r="D23" s="276">
        <f>3.45+1.07+6.52+1.35+0.77</f>
        <v>13.159999999999998</v>
      </c>
      <c r="E23" s="276">
        <v>111.61</v>
      </c>
      <c r="F23" s="276">
        <v>66.44</v>
      </c>
      <c r="G23" s="276">
        <v>0</v>
      </c>
      <c r="H23" s="276">
        <f t="shared" ref="H23:H30" si="5">F23+G23</f>
        <v>66.44</v>
      </c>
      <c r="I23" s="276">
        <v>66.95</v>
      </c>
      <c r="J23" s="276">
        <v>0</v>
      </c>
      <c r="K23" s="276">
        <f t="shared" ref="K23:K30" si="6">I23+J23</f>
        <v>66.95</v>
      </c>
      <c r="L23" s="276">
        <v>67.58</v>
      </c>
      <c r="M23" s="276">
        <v>0</v>
      </c>
      <c r="N23" s="276">
        <f t="shared" ref="N23:N30" si="7">L23+M23</f>
        <v>67.58</v>
      </c>
      <c r="O23" s="276">
        <v>68.290000000000006</v>
      </c>
      <c r="P23" s="276">
        <v>0</v>
      </c>
      <c r="Q23" s="276">
        <f t="shared" ref="Q23:Q30" si="8">O23+P23</f>
        <v>68.290000000000006</v>
      </c>
    </row>
    <row r="24" spans="1:17" ht="15.6">
      <c r="A24" s="131">
        <v>3</v>
      </c>
      <c r="B24" s="77" t="s">
        <v>36</v>
      </c>
      <c r="C24" s="276">
        <v>836.96</v>
      </c>
      <c r="D24" s="276">
        <f>45.26+20.74+284.44+58.9+16.4+22.82</f>
        <v>448.55999999999995</v>
      </c>
      <c r="E24" s="276">
        <f t="shared" ref="E24:E27" si="9">C24+D24</f>
        <v>1285.52</v>
      </c>
      <c r="F24" s="276">
        <v>874.89</v>
      </c>
      <c r="G24" s="276">
        <v>0</v>
      </c>
      <c r="H24" s="276">
        <f t="shared" si="5"/>
        <v>874.89</v>
      </c>
      <c r="I24" s="276">
        <v>833.99</v>
      </c>
      <c r="J24" s="276">
        <v>0</v>
      </c>
      <c r="K24" s="276">
        <f t="shared" si="6"/>
        <v>833.99</v>
      </c>
      <c r="L24" s="276">
        <v>822.12</v>
      </c>
      <c r="M24" s="276">
        <v>0</v>
      </c>
      <c r="N24" s="276">
        <f t="shared" si="7"/>
        <v>822.12</v>
      </c>
      <c r="O24" s="276">
        <v>811.09</v>
      </c>
      <c r="P24" s="276">
        <v>0</v>
      </c>
      <c r="Q24" s="276">
        <f t="shared" si="8"/>
        <v>811.09</v>
      </c>
    </row>
    <row r="25" spans="1:17" ht="15.6">
      <c r="A25" s="131">
        <v>4</v>
      </c>
      <c r="B25" s="21" t="s">
        <v>38</v>
      </c>
      <c r="C25" s="390">
        <v>5.443303758340476</v>
      </c>
      <c r="D25" s="390">
        <v>0</v>
      </c>
      <c r="E25" s="390">
        <f t="shared" si="9"/>
        <v>5.443303758340476</v>
      </c>
      <c r="F25" s="390">
        <v>3.6594004663834525</v>
      </c>
      <c r="G25" s="390">
        <v>0</v>
      </c>
      <c r="H25" s="390">
        <f t="shared" si="5"/>
        <v>3.6594004663834525</v>
      </c>
      <c r="I25" s="390">
        <v>3.5666735518962978</v>
      </c>
      <c r="J25" s="390">
        <v>0</v>
      </c>
      <c r="K25" s="390">
        <f t="shared" si="6"/>
        <v>3.5666735518962978</v>
      </c>
      <c r="L25" s="390">
        <v>2.61</v>
      </c>
      <c r="M25" s="390">
        <v>0</v>
      </c>
      <c r="N25" s="390">
        <f t="shared" si="7"/>
        <v>2.61</v>
      </c>
      <c r="O25" s="390">
        <v>2.62</v>
      </c>
      <c r="P25" s="390">
        <v>0</v>
      </c>
      <c r="Q25" s="390">
        <f t="shared" si="8"/>
        <v>2.62</v>
      </c>
    </row>
    <row r="26" spans="1:17" ht="15.6">
      <c r="A26" s="131">
        <v>5</v>
      </c>
      <c r="B26" s="77" t="s">
        <v>40</v>
      </c>
      <c r="C26" s="276">
        <v>584.86</v>
      </c>
      <c r="D26" s="276">
        <f>22.56+5.18+29.85+6.2+(-0.83)</f>
        <v>62.960000000000008</v>
      </c>
      <c r="E26" s="276">
        <f t="shared" si="9"/>
        <v>647.82000000000005</v>
      </c>
      <c r="F26" s="276">
        <v>629.88</v>
      </c>
      <c r="G26" s="276">
        <v>0</v>
      </c>
      <c r="H26" s="276">
        <f t="shared" si="5"/>
        <v>629.88</v>
      </c>
      <c r="I26" s="276">
        <v>823.01</v>
      </c>
      <c r="J26" s="276">
        <v>0</v>
      </c>
      <c r="K26" s="276">
        <f t="shared" si="6"/>
        <v>823.01</v>
      </c>
      <c r="L26" s="276">
        <v>1176.6199999999999</v>
      </c>
      <c r="M26" s="276">
        <v>0</v>
      </c>
      <c r="N26" s="276">
        <f t="shared" si="7"/>
        <v>1176.6199999999999</v>
      </c>
      <c r="O26" s="276">
        <v>1554.63</v>
      </c>
      <c r="P26" s="276">
        <v>0</v>
      </c>
      <c r="Q26" s="276">
        <f t="shared" si="8"/>
        <v>1554.63</v>
      </c>
    </row>
    <row r="27" spans="1:17" ht="15.6">
      <c r="A27" s="131">
        <v>6</v>
      </c>
      <c r="B27" s="21" t="s">
        <v>42</v>
      </c>
      <c r="C27" s="276">
        <v>1331.53</v>
      </c>
      <c r="D27" s="276">
        <f>66.97+8.46+370.37</f>
        <v>445.8</v>
      </c>
      <c r="E27" s="276">
        <f t="shared" si="9"/>
        <v>1777.33</v>
      </c>
      <c r="F27" s="276">
        <v>1850.05</v>
      </c>
      <c r="G27" s="276">
        <v>0</v>
      </c>
      <c r="H27" s="276">
        <f t="shared" si="5"/>
        <v>1850.05</v>
      </c>
      <c r="I27" s="276">
        <v>2367.0100000000002</v>
      </c>
      <c r="J27" s="276">
        <v>0</v>
      </c>
      <c r="K27" s="276">
        <f t="shared" si="6"/>
        <v>2367.0100000000002</v>
      </c>
      <c r="L27" s="276">
        <v>2569.73</v>
      </c>
      <c r="M27" s="276">
        <v>0</v>
      </c>
      <c r="N27" s="276">
        <f t="shared" si="7"/>
        <v>2569.73</v>
      </c>
      <c r="O27" s="276">
        <v>2745.79</v>
      </c>
      <c r="P27" s="276">
        <v>0</v>
      </c>
      <c r="Q27" s="276">
        <f t="shared" si="8"/>
        <v>2745.79</v>
      </c>
    </row>
    <row r="28" spans="1:17" ht="15.6">
      <c r="A28" s="131">
        <v>7</v>
      </c>
      <c r="B28" s="77" t="s">
        <v>44</v>
      </c>
      <c r="C28" s="276">
        <v>43.59</v>
      </c>
      <c r="D28" s="276">
        <f>1.51+1.4+0.63+0.75</f>
        <v>4.29</v>
      </c>
      <c r="E28" s="276">
        <f>C28+D28</f>
        <v>47.88</v>
      </c>
      <c r="F28" s="276">
        <v>43.63</v>
      </c>
      <c r="G28" s="276">
        <v>0</v>
      </c>
      <c r="H28" s="276">
        <f t="shared" si="5"/>
        <v>43.63</v>
      </c>
      <c r="I28" s="276">
        <v>43.42</v>
      </c>
      <c r="J28" s="276">
        <v>0</v>
      </c>
      <c r="K28" s="276">
        <f t="shared" si="6"/>
        <v>43.42</v>
      </c>
      <c r="L28" s="276">
        <v>43.54</v>
      </c>
      <c r="M28" s="276">
        <v>0</v>
      </c>
      <c r="N28" s="276">
        <f t="shared" si="7"/>
        <v>43.54</v>
      </c>
      <c r="O28" s="276">
        <v>43.75</v>
      </c>
      <c r="P28" s="276">
        <v>0</v>
      </c>
      <c r="Q28" s="276">
        <f t="shared" si="8"/>
        <v>43.75</v>
      </c>
    </row>
    <row r="29" spans="1:17" ht="15.6">
      <c r="A29" s="131">
        <v>8</v>
      </c>
      <c r="B29" s="77" t="s">
        <v>46</v>
      </c>
      <c r="C29" s="276">
        <v>42.83</v>
      </c>
      <c r="D29" s="276">
        <v>0</v>
      </c>
      <c r="E29" s="276">
        <v>42.82</v>
      </c>
      <c r="F29" s="276">
        <v>37.44</v>
      </c>
      <c r="G29" s="276">
        <v>0</v>
      </c>
      <c r="H29" s="276">
        <f t="shared" si="5"/>
        <v>37.44</v>
      </c>
      <c r="I29" s="276">
        <v>36.14</v>
      </c>
      <c r="J29" s="276">
        <v>0</v>
      </c>
      <c r="K29" s="276">
        <f t="shared" si="6"/>
        <v>36.14</v>
      </c>
      <c r="L29" s="276">
        <v>34.86</v>
      </c>
      <c r="M29" s="276">
        <v>0</v>
      </c>
      <c r="N29" s="276">
        <f t="shared" si="7"/>
        <v>34.86</v>
      </c>
      <c r="O29" s="276">
        <v>23.58</v>
      </c>
      <c r="P29" s="276">
        <v>0</v>
      </c>
      <c r="Q29" s="276">
        <f t="shared" si="8"/>
        <v>23.58</v>
      </c>
    </row>
    <row r="30" spans="1:17" ht="15.6">
      <c r="A30" s="131">
        <v>9</v>
      </c>
      <c r="B30" s="20" t="s">
        <v>48</v>
      </c>
      <c r="C30" s="276">
        <v>302.5</v>
      </c>
      <c r="D30" s="276">
        <v>0</v>
      </c>
      <c r="E30" s="276">
        <f t="shared" ref="E30" si="10">C30+D30</f>
        <v>302.5</v>
      </c>
      <c r="F30" s="276">
        <v>302.5</v>
      </c>
      <c r="G30" s="276">
        <v>0</v>
      </c>
      <c r="H30" s="276">
        <f t="shared" si="5"/>
        <v>302.5</v>
      </c>
      <c r="I30" s="276">
        <v>302.5</v>
      </c>
      <c r="J30" s="276">
        <v>0</v>
      </c>
      <c r="K30" s="276">
        <f t="shared" si="6"/>
        <v>302.5</v>
      </c>
      <c r="L30" s="276">
        <v>212.05</v>
      </c>
      <c r="M30" s="276">
        <v>0</v>
      </c>
      <c r="N30" s="276">
        <f t="shared" si="7"/>
        <v>212.05</v>
      </c>
      <c r="O30" s="276">
        <v>212.05</v>
      </c>
      <c r="P30" s="276">
        <v>0</v>
      </c>
      <c r="Q30" s="276">
        <f t="shared" si="8"/>
        <v>212.05</v>
      </c>
    </row>
    <row r="31" spans="1:17" ht="55.15">
      <c r="A31" s="131"/>
      <c r="B31" s="135" t="s">
        <v>50</v>
      </c>
      <c r="C31" s="133"/>
      <c r="D31" s="133"/>
      <c r="E31" s="134">
        <f>SUM(E22:E30)</f>
        <v>11839.383303758337</v>
      </c>
      <c r="F31" s="133"/>
      <c r="G31" s="133"/>
      <c r="H31" s="134">
        <f>SUM(H22:H30)</f>
        <v>11955.259400466382</v>
      </c>
      <c r="I31" s="133"/>
      <c r="J31" s="133"/>
      <c r="K31" s="134">
        <f>SUM(K22:K30)</f>
        <v>13959.036673551898</v>
      </c>
      <c r="L31" s="133"/>
      <c r="M31" s="133"/>
      <c r="N31" s="134">
        <f>SUM(N22:N30)</f>
        <v>15624.04</v>
      </c>
      <c r="O31" s="133"/>
      <c r="P31" s="133"/>
      <c r="Q31" s="134">
        <f>SUM(Q22:Q30)</f>
        <v>16930.940000000002</v>
      </c>
    </row>
  </sheetData>
  <mergeCells count="10">
    <mergeCell ref="C2:E2"/>
    <mergeCell ref="F2:H2"/>
    <mergeCell ref="I2:K2"/>
    <mergeCell ref="L2:N2"/>
    <mergeCell ref="O2:Q2"/>
    <mergeCell ref="C20:E20"/>
    <mergeCell ref="F20:H20"/>
    <mergeCell ref="I20:K20"/>
    <mergeCell ref="L20:N20"/>
    <mergeCell ref="O20:Q2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4BBC-A7FF-45C9-A21E-37A918240433}">
  <dimension ref="B2:Z41"/>
  <sheetViews>
    <sheetView workbookViewId="0">
      <selection activeCell="A23" sqref="A23"/>
    </sheetView>
  </sheetViews>
  <sheetFormatPr defaultRowHeight="13.15"/>
  <cols>
    <col min="2" max="2" width="55.28515625" bestFit="1" customWidth="1"/>
    <col min="3" max="3" width="9.5703125" bestFit="1" customWidth="1"/>
    <col min="5" max="5" width="16.7109375" bestFit="1" customWidth="1"/>
    <col min="6" max="10" width="13.7109375" bestFit="1" customWidth="1"/>
    <col min="17" max="17" width="39.5703125" bestFit="1" customWidth="1"/>
    <col min="19" max="19" width="7.140625" bestFit="1" customWidth="1"/>
    <col min="20" max="20" width="16.7109375" bestFit="1" customWidth="1"/>
    <col min="21" max="25" width="10.7109375" bestFit="1" customWidth="1"/>
  </cols>
  <sheetData>
    <row r="2" spans="2:26">
      <c r="V2" t="s">
        <v>308</v>
      </c>
    </row>
    <row r="5" spans="2:26" ht="13.9">
      <c r="B5" s="472" t="s">
        <v>309</v>
      </c>
      <c r="C5" s="472"/>
      <c r="D5" s="472"/>
      <c r="E5" s="472"/>
      <c r="F5" s="472"/>
      <c r="G5" s="472"/>
      <c r="H5" s="472"/>
      <c r="I5" s="472"/>
      <c r="J5" s="472"/>
      <c r="Q5" s="469" t="s">
        <v>310</v>
      </c>
      <c r="R5" s="470"/>
      <c r="S5" s="470"/>
      <c r="T5" s="470"/>
      <c r="U5" s="470"/>
      <c r="V5" s="470"/>
      <c r="W5" s="470"/>
      <c r="X5" s="470"/>
      <c r="Y5" s="470"/>
      <c r="Z5" s="471"/>
    </row>
    <row r="6" spans="2:26" ht="13.9">
      <c r="B6" s="146" t="s">
        <v>311</v>
      </c>
      <c r="C6" s="385"/>
      <c r="D6" s="146" t="s">
        <v>2</v>
      </c>
      <c r="E6" s="146" t="s">
        <v>82</v>
      </c>
      <c r="F6" s="127" t="s">
        <v>26</v>
      </c>
      <c r="G6" s="127" t="s">
        <v>27</v>
      </c>
      <c r="H6" s="127" t="s">
        <v>28</v>
      </c>
      <c r="I6" s="127" t="s">
        <v>29</v>
      </c>
      <c r="J6" s="127" t="s">
        <v>30</v>
      </c>
      <c r="Q6" s="146" t="s">
        <v>311</v>
      </c>
      <c r="R6" s="146"/>
      <c r="S6" s="380" t="s">
        <v>2</v>
      </c>
      <c r="T6" s="146" t="s">
        <v>82</v>
      </c>
      <c r="U6" s="127" t="s">
        <v>26</v>
      </c>
      <c r="V6" s="127" t="s">
        <v>27</v>
      </c>
      <c r="W6" s="127" t="s">
        <v>28</v>
      </c>
      <c r="X6" s="127" t="s">
        <v>29</v>
      </c>
      <c r="Y6" s="127" t="s">
        <v>30</v>
      </c>
      <c r="Z6" s="127" t="s">
        <v>312</v>
      </c>
    </row>
    <row r="7" spans="2:26" ht="13.9">
      <c r="B7" s="389" t="s">
        <v>313</v>
      </c>
      <c r="C7" s="383" t="s">
        <v>314</v>
      </c>
      <c r="D7" s="106">
        <v>1</v>
      </c>
      <c r="E7" s="377" t="s">
        <v>96</v>
      </c>
      <c r="F7" s="154">
        <v>27732</v>
      </c>
      <c r="G7" s="154">
        <v>30520</v>
      </c>
      <c r="H7" s="154">
        <v>33521</v>
      </c>
      <c r="I7" s="154">
        <v>34287</v>
      </c>
      <c r="J7" s="154">
        <v>35334</v>
      </c>
      <c r="K7" s="375"/>
      <c r="Q7" s="383" t="s">
        <v>313</v>
      </c>
      <c r="R7" s="137" t="s">
        <v>96</v>
      </c>
      <c r="S7" s="381">
        <v>1</v>
      </c>
      <c r="T7" s="10" t="s">
        <v>96</v>
      </c>
      <c r="U7" s="366">
        <v>158306.14000000001</v>
      </c>
      <c r="V7" s="366">
        <v>167273.57999999999</v>
      </c>
      <c r="W7" s="366">
        <v>175796.1</v>
      </c>
      <c r="X7" s="366">
        <v>184366.62</v>
      </c>
      <c r="Y7" s="366">
        <v>193580.03</v>
      </c>
      <c r="Z7" s="137"/>
    </row>
    <row r="8" spans="2:26" ht="13.9">
      <c r="B8" s="389" t="s">
        <v>315</v>
      </c>
      <c r="C8" s="386" t="s">
        <v>316</v>
      </c>
      <c r="D8" s="106">
        <v>2</v>
      </c>
      <c r="E8" s="10" t="s">
        <v>97</v>
      </c>
      <c r="F8" s="106">
        <v>1030</v>
      </c>
      <c r="G8" s="106">
        <v>1098</v>
      </c>
      <c r="H8" s="106">
        <v>1190</v>
      </c>
      <c r="I8" s="106">
        <v>1265</v>
      </c>
      <c r="J8" s="106">
        <v>1343</v>
      </c>
      <c r="K8" s="376"/>
      <c r="Q8" s="383" t="s">
        <v>317</v>
      </c>
      <c r="R8" s="137" t="s">
        <v>318</v>
      </c>
      <c r="S8" s="381">
        <v>2</v>
      </c>
      <c r="T8" s="10" t="s">
        <v>97</v>
      </c>
      <c r="U8" s="366">
        <v>6555.16</v>
      </c>
      <c r="V8" s="366">
        <v>7013.48</v>
      </c>
      <c r="W8" s="366">
        <v>7517.7</v>
      </c>
      <c r="X8" s="366">
        <v>8064.03</v>
      </c>
      <c r="Y8" s="366">
        <v>8631.91</v>
      </c>
      <c r="Z8" s="137"/>
    </row>
    <row r="9" spans="2:26" ht="13.9">
      <c r="B9" s="389" t="s">
        <v>319</v>
      </c>
      <c r="C9" s="383" t="s">
        <v>318</v>
      </c>
      <c r="D9" s="106">
        <v>3</v>
      </c>
      <c r="E9" s="10" t="s">
        <v>98</v>
      </c>
      <c r="F9" s="373">
        <v>2335.6799999999998</v>
      </c>
      <c r="G9" s="373">
        <v>2543.6889999999999</v>
      </c>
      <c r="H9" s="373">
        <v>2752.4111899999998</v>
      </c>
      <c r="I9" s="373">
        <v>2957.9960000000001</v>
      </c>
      <c r="J9" s="373">
        <v>3114.1680900000001</v>
      </c>
      <c r="K9" s="375"/>
      <c r="Q9" s="383" t="s">
        <v>319</v>
      </c>
      <c r="R9" s="137" t="s">
        <v>318</v>
      </c>
      <c r="S9" s="381">
        <v>3</v>
      </c>
      <c r="T9" s="10" t="s">
        <v>98</v>
      </c>
      <c r="U9" s="374">
        <v>12177</v>
      </c>
      <c r="V9" s="374">
        <v>13366</v>
      </c>
      <c r="W9" s="374">
        <v>14574</v>
      </c>
      <c r="X9" s="374">
        <v>15782</v>
      </c>
      <c r="Y9" s="374">
        <v>16753</v>
      </c>
      <c r="Z9" s="137"/>
    </row>
    <row r="10" spans="2:26" ht="13.9">
      <c r="B10" s="389" t="s">
        <v>317</v>
      </c>
      <c r="C10" s="383" t="s">
        <v>318</v>
      </c>
      <c r="D10" s="106">
        <v>4</v>
      </c>
      <c r="E10" s="10" t="s">
        <v>99</v>
      </c>
      <c r="F10" s="106">
        <v>989.73</v>
      </c>
      <c r="G10" s="84">
        <v>1001.97</v>
      </c>
      <c r="H10" s="84">
        <v>1015.27</v>
      </c>
      <c r="I10" s="84">
        <v>1029.98</v>
      </c>
      <c r="J10" s="84">
        <v>1047.9000000000001</v>
      </c>
      <c r="K10" s="375"/>
      <c r="Q10" s="383" t="s">
        <v>317</v>
      </c>
      <c r="R10" s="137" t="s">
        <v>318</v>
      </c>
      <c r="S10" s="381">
        <v>4</v>
      </c>
      <c r="T10" s="10" t="s">
        <v>99</v>
      </c>
      <c r="U10" s="366">
        <v>4837.7700000000004</v>
      </c>
      <c r="V10" s="366">
        <v>4879.2700000000004</v>
      </c>
      <c r="W10" s="366">
        <v>4924</v>
      </c>
      <c r="X10" s="366">
        <v>4974.42</v>
      </c>
      <c r="Y10" s="366">
        <v>5030.97</v>
      </c>
      <c r="Z10" s="137"/>
    </row>
    <row r="11" spans="2:26" ht="13.9">
      <c r="B11" s="383" t="s">
        <v>320</v>
      </c>
      <c r="C11" s="383" t="s">
        <v>321</v>
      </c>
      <c r="D11" s="106">
        <v>5</v>
      </c>
      <c r="E11" s="10" t="s">
        <v>100</v>
      </c>
      <c r="F11" s="106">
        <v>550.4</v>
      </c>
      <c r="G11" s="106">
        <v>580.70000000000005</v>
      </c>
      <c r="H11" s="106">
        <v>612.6</v>
      </c>
      <c r="I11" s="106">
        <v>646.29999999999995</v>
      </c>
      <c r="J11" s="106">
        <v>681.9</v>
      </c>
      <c r="K11" s="375"/>
      <c r="Q11" s="384" t="s">
        <v>322</v>
      </c>
      <c r="R11" s="137" t="s">
        <v>321</v>
      </c>
      <c r="S11" s="381">
        <v>5</v>
      </c>
      <c r="T11" s="10" t="s">
        <v>100</v>
      </c>
      <c r="U11" s="154">
        <v>4078.6053120000006</v>
      </c>
      <c r="V11" s="154">
        <v>4336.3731677183996</v>
      </c>
      <c r="W11" s="154">
        <v>4610.4319519182036</v>
      </c>
      <c r="X11" s="154">
        <v>4901.8112512794341</v>
      </c>
      <c r="Y11" s="154">
        <v>5211.6057223602938</v>
      </c>
      <c r="Z11" s="388" t="s">
        <v>323</v>
      </c>
    </row>
    <row r="12" spans="2:26" ht="13.9">
      <c r="B12" t="s">
        <v>324</v>
      </c>
      <c r="C12" s="386" t="s">
        <v>318</v>
      </c>
      <c r="D12" s="106">
        <v>6</v>
      </c>
      <c r="E12" s="377" t="s">
        <v>101</v>
      </c>
      <c r="F12" s="106">
        <v>10.5</v>
      </c>
      <c r="G12" s="106">
        <v>10.8</v>
      </c>
      <c r="H12" s="106">
        <v>11</v>
      </c>
      <c r="I12" s="106">
        <v>11.2</v>
      </c>
      <c r="J12" s="106">
        <v>11.4</v>
      </c>
      <c r="K12" s="376"/>
      <c r="Q12" s="383" t="s">
        <v>325</v>
      </c>
      <c r="R12" s="137" t="s">
        <v>318</v>
      </c>
      <c r="S12" s="381">
        <v>6</v>
      </c>
      <c r="T12" s="10" t="s">
        <v>101</v>
      </c>
      <c r="U12" s="367">
        <v>53.79</v>
      </c>
      <c r="V12" s="367">
        <v>53.79</v>
      </c>
      <c r="W12" s="367">
        <v>53.79</v>
      </c>
      <c r="X12" s="367">
        <v>53.79</v>
      </c>
      <c r="Y12" s="367">
        <v>53.79</v>
      </c>
      <c r="Z12" s="137"/>
    </row>
    <row r="13" spans="2:26" ht="13.9">
      <c r="B13" s="383" t="s">
        <v>325</v>
      </c>
      <c r="C13" s="383" t="s">
        <v>318</v>
      </c>
      <c r="D13" s="106">
        <v>7</v>
      </c>
      <c r="E13" s="10" t="s">
        <v>102</v>
      </c>
      <c r="F13" s="106">
        <v>5.75</v>
      </c>
      <c r="G13" s="106">
        <v>6</v>
      </c>
      <c r="H13" s="106">
        <v>6.15</v>
      </c>
      <c r="I13" s="106">
        <v>6.3</v>
      </c>
      <c r="J13" s="106">
        <v>6.45</v>
      </c>
      <c r="K13" s="375"/>
      <c r="Q13" s="383" t="s">
        <v>325</v>
      </c>
      <c r="R13" s="137" t="s">
        <v>318</v>
      </c>
      <c r="S13" s="381">
        <v>7</v>
      </c>
      <c r="T13" s="10" t="s">
        <v>102</v>
      </c>
      <c r="U13" s="367">
        <v>27.72</v>
      </c>
      <c r="V13" s="367">
        <v>28.41</v>
      </c>
      <c r="W13" s="367">
        <v>29.13</v>
      </c>
      <c r="X13" s="367">
        <v>29.87</v>
      </c>
      <c r="Y13" s="367">
        <v>30.64</v>
      </c>
      <c r="Z13" s="137"/>
    </row>
    <row r="14" spans="2:26" ht="13.9">
      <c r="B14" s="383"/>
      <c r="C14" s="386" t="s">
        <v>318</v>
      </c>
      <c r="D14" s="106">
        <v>8</v>
      </c>
      <c r="E14" s="377" t="s">
        <v>103</v>
      </c>
      <c r="F14" s="106">
        <v>7.9</v>
      </c>
      <c r="G14" s="106">
        <v>8.0579999999999998</v>
      </c>
      <c r="H14" s="106">
        <v>8.2189999999999994</v>
      </c>
      <c r="I14" s="106">
        <v>8.3840000000000003</v>
      </c>
      <c r="J14" s="106">
        <v>8.5510000000000002</v>
      </c>
      <c r="K14" s="376"/>
      <c r="Q14" s="383" t="s">
        <v>325</v>
      </c>
      <c r="R14" s="137" t="s">
        <v>318</v>
      </c>
      <c r="S14" s="381">
        <v>8</v>
      </c>
      <c r="T14" s="10" t="s">
        <v>103</v>
      </c>
      <c r="U14" s="367">
        <v>27.08</v>
      </c>
      <c r="V14" s="367">
        <v>28.43</v>
      </c>
      <c r="W14" s="367">
        <v>28.43</v>
      </c>
      <c r="X14" s="367">
        <v>28.43</v>
      </c>
      <c r="Y14" s="367">
        <v>28.43</v>
      </c>
      <c r="Z14" s="137"/>
    </row>
    <row r="15" spans="2:26" ht="13.9">
      <c r="B15" s="383" t="s">
        <v>326</v>
      </c>
      <c r="C15" s="383" t="s">
        <v>327</v>
      </c>
      <c r="D15" s="106">
        <v>9</v>
      </c>
      <c r="E15" s="10" t="s">
        <v>104</v>
      </c>
      <c r="F15" s="106">
        <v>16.670000000000002</v>
      </c>
      <c r="G15" s="106">
        <v>20.73</v>
      </c>
      <c r="H15" s="106">
        <v>25.55</v>
      </c>
      <c r="I15" s="106">
        <v>30.85</v>
      </c>
      <c r="J15" s="106">
        <v>33.35</v>
      </c>
      <c r="K15" s="375"/>
      <c r="Q15" s="384" t="s">
        <v>328</v>
      </c>
      <c r="R15" s="137" t="s">
        <v>124</v>
      </c>
      <c r="S15" s="381">
        <v>9</v>
      </c>
      <c r="T15" s="10" t="s">
        <v>104</v>
      </c>
      <c r="U15" s="367" t="s">
        <v>124</v>
      </c>
      <c r="V15" s="367" t="s">
        <v>124</v>
      </c>
      <c r="W15" s="367" t="s">
        <v>124</v>
      </c>
      <c r="X15" s="367" t="s">
        <v>124</v>
      </c>
      <c r="Y15" s="367" t="s">
        <v>124</v>
      </c>
      <c r="Z15" s="137" t="s">
        <v>328</v>
      </c>
    </row>
    <row r="16" spans="2:26" ht="13.9">
      <c r="B16" s="383" t="s">
        <v>329</v>
      </c>
      <c r="C16" s="383" t="s">
        <v>316</v>
      </c>
      <c r="D16" s="106">
        <v>10</v>
      </c>
      <c r="E16" s="10" t="s">
        <v>105</v>
      </c>
      <c r="F16" s="106">
        <v>17.28</v>
      </c>
      <c r="G16" s="106">
        <v>18.66</v>
      </c>
      <c r="H16" s="106">
        <v>20.16</v>
      </c>
      <c r="I16" s="106">
        <v>21.77</v>
      </c>
      <c r="J16" s="106">
        <v>23.51</v>
      </c>
      <c r="K16" s="375"/>
      <c r="Q16" s="383"/>
      <c r="R16" s="137" t="s">
        <v>316</v>
      </c>
      <c r="S16" s="381">
        <v>10</v>
      </c>
      <c r="T16" s="10" t="s">
        <v>105</v>
      </c>
      <c r="U16" s="367">
        <v>96.3</v>
      </c>
      <c r="V16" s="367">
        <v>104.01</v>
      </c>
      <c r="W16" s="367">
        <v>112.33</v>
      </c>
      <c r="X16" s="367">
        <v>121.31</v>
      </c>
      <c r="Y16" s="367">
        <v>131.02000000000001</v>
      </c>
      <c r="Z16" s="137"/>
    </row>
    <row r="17" spans="2:26" ht="13.9">
      <c r="B17" s="383" t="s">
        <v>330</v>
      </c>
      <c r="C17" s="383" t="s">
        <v>318</v>
      </c>
      <c r="D17" s="106">
        <v>11</v>
      </c>
      <c r="E17" s="10" t="s">
        <v>106</v>
      </c>
      <c r="F17" s="106">
        <v>5</v>
      </c>
      <c r="G17" s="106">
        <v>5</v>
      </c>
      <c r="H17" s="106">
        <v>5</v>
      </c>
      <c r="I17" s="106">
        <v>5</v>
      </c>
      <c r="J17" s="106">
        <v>5</v>
      </c>
      <c r="K17" s="375"/>
      <c r="Q17" s="383" t="s">
        <v>330</v>
      </c>
      <c r="R17" s="137" t="s">
        <v>318</v>
      </c>
      <c r="S17" s="381">
        <v>11</v>
      </c>
      <c r="T17" s="10" t="s">
        <v>106</v>
      </c>
      <c r="U17" s="367">
        <v>44.62</v>
      </c>
      <c r="V17" s="367">
        <v>45.96</v>
      </c>
      <c r="W17" s="367">
        <v>47.34</v>
      </c>
      <c r="X17" s="367">
        <v>48.76</v>
      </c>
      <c r="Y17" s="367">
        <v>50.22</v>
      </c>
      <c r="Z17" s="137"/>
    </row>
    <row r="18" spans="2:26" ht="13.9">
      <c r="B18" s="383" t="s">
        <v>330</v>
      </c>
      <c r="C18" s="383" t="s">
        <v>318</v>
      </c>
      <c r="D18" s="106">
        <v>12</v>
      </c>
      <c r="E18" s="10" t="s">
        <v>107</v>
      </c>
      <c r="F18" s="106">
        <v>3</v>
      </c>
      <c r="G18" s="106">
        <v>3</v>
      </c>
      <c r="H18" s="106">
        <v>3</v>
      </c>
      <c r="I18" s="106">
        <v>3</v>
      </c>
      <c r="J18" s="106">
        <v>3</v>
      </c>
      <c r="K18" s="375"/>
      <c r="Q18" s="383" t="s">
        <v>330</v>
      </c>
      <c r="R18" s="137" t="s">
        <v>318</v>
      </c>
      <c r="S18" s="381">
        <v>12</v>
      </c>
      <c r="T18" s="10" t="s">
        <v>107</v>
      </c>
      <c r="U18" s="367">
        <v>24.6</v>
      </c>
      <c r="V18" s="367">
        <v>25.09</v>
      </c>
      <c r="W18" s="367">
        <v>25.59</v>
      </c>
      <c r="X18" s="367">
        <v>26.1</v>
      </c>
      <c r="Y18" s="367">
        <v>26.62</v>
      </c>
      <c r="Z18" s="137"/>
    </row>
    <row r="19" spans="2:26" ht="13.9">
      <c r="B19" s="383" t="s">
        <v>325</v>
      </c>
      <c r="C19" s="383" t="s">
        <v>318</v>
      </c>
      <c r="D19" s="106">
        <v>13</v>
      </c>
      <c r="E19" s="10" t="s">
        <v>108</v>
      </c>
      <c r="F19" s="369">
        <v>0.92</v>
      </c>
      <c r="G19" s="369">
        <v>1.03</v>
      </c>
      <c r="H19" s="369">
        <v>1.1499999999999999</v>
      </c>
      <c r="I19" s="369">
        <v>1.29</v>
      </c>
      <c r="J19" s="369">
        <v>1.44</v>
      </c>
      <c r="K19" s="375"/>
      <c r="Q19" s="383" t="s">
        <v>325</v>
      </c>
      <c r="R19" s="137" t="s">
        <v>318</v>
      </c>
      <c r="S19" s="381">
        <v>13</v>
      </c>
      <c r="T19" s="10" t="s">
        <v>108</v>
      </c>
      <c r="U19" s="367">
        <v>6.21</v>
      </c>
      <c r="V19" s="367">
        <v>6.94</v>
      </c>
      <c r="W19" s="367">
        <v>7.77</v>
      </c>
      <c r="X19" s="367">
        <v>8.69</v>
      </c>
      <c r="Y19" s="367">
        <v>9.73</v>
      </c>
      <c r="Z19" s="137" t="s">
        <v>328</v>
      </c>
    </row>
    <row r="20" spans="2:26" ht="13.9">
      <c r="B20" s="383" t="s">
        <v>325</v>
      </c>
      <c r="C20" s="383" t="s">
        <v>318</v>
      </c>
      <c r="D20" s="106">
        <v>14</v>
      </c>
      <c r="E20" s="10" t="s">
        <v>109</v>
      </c>
      <c r="F20" s="106">
        <v>0.78</v>
      </c>
      <c r="G20" s="106">
        <v>0.82</v>
      </c>
      <c r="H20" s="106">
        <v>0.86</v>
      </c>
      <c r="I20" s="106">
        <v>0.9</v>
      </c>
      <c r="J20" s="106">
        <v>0.95</v>
      </c>
      <c r="K20" s="375"/>
      <c r="Q20" s="383" t="s">
        <v>325</v>
      </c>
      <c r="R20" s="137" t="s">
        <v>318</v>
      </c>
      <c r="S20" s="381">
        <v>14</v>
      </c>
      <c r="T20" s="10" t="s">
        <v>109</v>
      </c>
      <c r="U20" s="367">
        <v>3.98</v>
      </c>
      <c r="V20" s="367">
        <v>4.0999999999999996</v>
      </c>
      <c r="W20" s="367">
        <v>4.22</v>
      </c>
      <c r="X20" s="367">
        <v>4.3499999999999996</v>
      </c>
      <c r="Y20" s="367">
        <v>4.4800000000000004</v>
      </c>
      <c r="Z20" s="137"/>
    </row>
    <row r="21" spans="2:26" ht="13.9">
      <c r="B21" s="384" t="s">
        <v>331</v>
      </c>
      <c r="C21" s="383" t="s">
        <v>332</v>
      </c>
      <c r="D21" s="106">
        <v>15</v>
      </c>
      <c r="E21" s="10" t="s">
        <v>110</v>
      </c>
      <c r="F21" s="106">
        <v>35</v>
      </c>
      <c r="G21" s="106">
        <v>37</v>
      </c>
      <c r="H21" s="106">
        <v>38</v>
      </c>
      <c r="I21" s="106">
        <v>41</v>
      </c>
      <c r="J21" s="106">
        <v>42</v>
      </c>
      <c r="K21" s="375"/>
      <c r="Q21" s="384" t="s">
        <v>331</v>
      </c>
      <c r="R21" s="137" t="s">
        <v>332</v>
      </c>
      <c r="S21" s="381">
        <v>15</v>
      </c>
      <c r="T21" s="10" t="s">
        <v>110</v>
      </c>
      <c r="U21" s="367">
        <v>116.83</v>
      </c>
      <c r="V21" s="367">
        <v>123.1</v>
      </c>
      <c r="W21" s="367">
        <v>129.37</v>
      </c>
      <c r="X21" s="367">
        <v>135.65</v>
      </c>
      <c r="Y21" s="367">
        <v>142.06</v>
      </c>
      <c r="Z21" s="137"/>
    </row>
    <row r="22" spans="2:26" ht="13.9">
      <c r="B22" s="383" t="s">
        <v>330</v>
      </c>
      <c r="C22" s="383" t="s">
        <v>318</v>
      </c>
      <c r="D22" s="106">
        <v>16</v>
      </c>
      <c r="E22" s="188" t="s">
        <v>111</v>
      </c>
      <c r="F22" s="106">
        <v>6</v>
      </c>
      <c r="G22" s="106">
        <v>6</v>
      </c>
      <c r="H22" s="106">
        <v>6</v>
      </c>
      <c r="I22" s="106">
        <v>7</v>
      </c>
      <c r="J22" s="106">
        <v>7</v>
      </c>
      <c r="K22" s="375"/>
      <c r="Q22" s="383" t="s">
        <v>330</v>
      </c>
      <c r="R22" s="137" t="s">
        <v>318</v>
      </c>
      <c r="S22" s="381">
        <v>16</v>
      </c>
      <c r="T22" s="188" t="s">
        <v>111</v>
      </c>
      <c r="U22" s="367">
        <v>122.7</v>
      </c>
      <c r="V22" s="367">
        <v>127.61</v>
      </c>
      <c r="W22" s="367">
        <v>132.71</v>
      </c>
      <c r="X22" s="367">
        <v>138.02000000000001</v>
      </c>
      <c r="Y22" s="367">
        <v>143.54</v>
      </c>
      <c r="Z22" s="137"/>
    </row>
    <row r="23" spans="2:26" ht="13.9">
      <c r="B23" s="383" t="s">
        <v>330</v>
      </c>
      <c r="C23" s="383" t="s">
        <v>318</v>
      </c>
      <c r="D23" s="106">
        <v>17</v>
      </c>
      <c r="E23" s="188" t="s">
        <v>112</v>
      </c>
      <c r="F23" s="106">
        <v>6</v>
      </c>
      <c r="G23" s="106">
        <v>7</v>
      </c>
      <c r="H23" s="106">
        <v>7</v>
      </c>
      <c r="I23" s="106">
        <v>7</v>
      </c>
      <c r="J23" s="106">
        <v>7</v>
      </c>
      <c r="K23" s="375"/>
      <c r="Q23" s="383" t="s">
        <v>330</v>
      </c>
      <c r="R23" s="137" t="s">
        <v>318</v>
      </c>
      <c r="S23" s="381">
        <v>17</v>
      </c>
      <c r="T23" s="188" t="s">
        <v>112</v>
      </c>
      <c r="U23" s="367">
        <v>119.32</v>
      </c>
      <c r="V23" s="367">
        <v>127.67</v>
      </c>
      <c r="W23" s="367">
        <v>127.67</v>
      </c>
      <c r="X23" s="367">
        <v>141.11000000000001</v>
      </c>
      <c r="Y23" s="367">
        <v>147.83000000000001</v>
      </c>
      <c r="Z23" s="137"/>
    </row>
    <row r="24" spans="2:26" ht="13.9">
      <c r="B24" s="383" t="s">
        <v>124</v>
      </c>
      <c r="C24" s="383" t="s">
        <v>124</v>
      </c>
      <c r="D24" s="106">
        <v>18</v>
      </c>
      <c r="E24" s="11" t="s">
        <v>333</v>
      </c>
      <c r="F24" s="367" t="s">
        <v>124</v>
      </c>
      <c r="G24" s="367" t="s">
        <v>124</v>
      </c>
      <c r="H24" s="367" t="s">
        <v>124</v>
      </c>
      <c r="I24" s="367" t="s">
        <v>124</v>
      </c>
      <c r="J24" s="367" t="s">
        <v>124</v>
      </c>
      <c r="K24" s="375"/>
      <c r="Q24" s="384" t="s">
        <v>124</v>
      </c>
      <c r="R24" s="137" t="s">
        <v>124</v>
      </c>
      <c r="S24" s="381">
        <v>18</v>
      </c>
      <c r="T24" s="137" t="s">
        <v>333</v>
      </c>
      <c r="U24" s="137" t="s">
        <v>124</v>
      </c>
      <c r="V24" s="137" t="s">
        <v>124</v>
      </c>
      <c r="W24" s="137" t="s">
        <v>124</v>
      </c>
      <c r="X24" s="137" t="s">
        <v>124</v>
      </c>
      <c r="Y24" s="137" t="s">
        <v>124</v>
      </c>
      <c r="Z24" s="137" t="s">
        <v>328</v>
      </c>
    </row>
    <row r="25" spans="2:26" ht="13.9">
      <c r="B25" s="383" t="s">
        <v>124</v>
      </c>
      <c r="C25" s="383" t="s">
        <v>124</v>
      </c>
      <c r="D25" s="106">
        <v>19</v>
      </c>
      <c r="E25" s="11" t="s">
        <v>334</v>
      </c>
      <c r="F25" s="367" t="s">
        <v>124</v>
      </c>
      <c r="G25" s="367" t="s">
        <v>124</v>
      </c>
      <c r="H25" s="367" t="s">
        <v>124</v>
      </c>
      <c r="I25" s="367" t="s">
        <v>124</v>
      </c>
      <c r="J25" s="367" t="s">
        <v>124</v>
      </c>
      <c r="K25" s="375"/>
      <c r="Q25" s="384" t="s">
        <v>124</v>
      </c>
      <c r="R25" s="137" t="s">
        <v>124</v>
      </c>
      <c r="S25" s="381">
        <v>19</v>
      </c>
      <c r="T25" s="137" t="s">
        <v>334</v>
      </c>
      <c r="U25" s="137" t="s">
        <v>124</v>
      </c>
      <c r="V25" s="137" t="s">
        <v>124</v>
      </c>
      <c r="W25" s="137" t="s">
        <v>124</v>
      </c>
      <c r="X25" s="137" t="s">
        <v>124</v>
      </c>
      <c r="Y25" s="137" t="s">
        <v>124</v>
      </c>
      <c r="Z25" s="137" t="s">
        <v>328</v>
      </c>
    </row>
    <row r="26" spans="2:26" ht="13.9">
      <c r="B26" s="137"/>
      <c r="C26" s="137"/>
      <c r="D26" s="11"/>
      <c r="E26" s="31" t="s">
        <v>191</v>
      </c>
      <c r="F26" s="369">
        <f>SUM(F7:F25)</f>
        <v>32752.609999999997</v>
      </c>
      <c r="G26" s="369">
        <f>SUM(G7:G25)</f>
        <v>35868.457000000002</v>
      </c>
      <c r="H26" s="369">
        <f>SUM(H7:H25)</f>
        <v>39223.370190000001</v>
      </c>
      <c r="I26" s="369">
        <f>SUM(I7:I25)</f>
        <v>40329.97</v>
      </c>
      <c r="J26" s="369">
        <f>SUM(J7:J25)</f>
        <v>41670.61909</v>
      </c>
      <c r="Q26" s="137"/>
      <c r="R26" s="137"/>
      <c r="S26" s="382"/>
      <c r="T26" s="365" t="s">
        <v>191</v>
      </c>
      <c r="U26" s="367">
        <f>SUM(U7:U25)</f>
        <v>186597.825312</v>
      </c>
      <c r="V26" s="367">
        <f>SUM(V7:V25)</f>
        <v>197543.81316771841</v>
      </c>
      <c r="W26" s="367">
        <f>SUM(W7:W25)</f>
        <v>208120.5819519182</v>
      </c>
      <c r="X26" s="367">
        <f>SUM(X7:X25)</f>
        <v>218824.96125127943</v>
      </c>
      <c r="Y26" s="367">
        <f>SUM(Y7:Y25)</f>
        <v>229975.8757223603</v>
      </c>
      <c r="Z26" s="137"/>
    </row>
    <row r="30" spans="2:26" ht="13.9" hidden="1">
      <c r="D30" t="s">
        <v>316</v>
      </c>
      <c r="E30" t="s">
        <v>335</v>
      </c>
      <c r="F30" s="373">
        <v>2184</v>
      </c>
      <c r="G30" s="373">
        <v>2309</v>
      </c>
      <c r="H30" s="373">
        <v>2437</v>
      </c>
      <c r="I30" s="373">
        <v>2562</v>
      </c>
      <c r="J30" s="373">
        <v>2640</v>
      </c>
    </row>
    <row r="34" spans="5:25">
      <c r="S34" t="s">
        <v>316</v>
      </c>
      <c r="T34" t="s">
        <v>98</v>
      </c>
      <c r="U34" s="374">
        <v>12426</v>
      </c>
      <c r="V34" s="374">
        <v>13240</v>
      </c>
      <c r="W34" s="374">
        <v>14078</v>
      </c>
      <c r="X34" s="374">
        <v>14915</v>
      </c>
      <c r="Y34" s="374">
        <v>15494</v>
      </c>
    </row>
    <row r="37" spans="5:25" hidden="1"/>
    <row r="38" spans="5:25" ht="15.6" hidden="1">
      <c r="E38" s="468" t="s">
        <v>125</v>
      </c>
      <c r="F38" s="371">
        <v>1030</v>
      </c>
      <c r="G38" s="371">
        <v>1098</v>
      </c>
      <c r="H38" s="372">
        <v>1190</v>
      </c>
      <c r="I38" s="372">
        <v>1265</v>
      </c>
      <c r="J38" s="372">
        <v>1343</v>
      </c>
      <c r="K38" t="s">
        <v>81</v>
      </c>
    </row>
    <row r="39" spans="5:25" ht="15.6" hidden="1">
      <c r="E39" s="468"/>
      <c r="F39" s="372">
        <v>7153</v>
      </c>
      <c r="G39" s="371">
        <v>7778</v>
      </c>
      <c r="H39" s="372">
        <v>8434</v>
      </c>
      <c r="I39" s="372">
        <v>9195</v>
      </c>
      <c r="J39" s="372">
        <v>9957</v>
      </c>
      <c r="K39" t="s">
        <v>336</v>
      </c>
    </row>
    <row r="40" spans="5:25" ht="15.6" hidden="1">
      <c r="G40" s="370"/>
    </row>
    <row r="41" spans="5:25" ht="15.6">
      <c r="G41" s="370"/>
    </row>
  </sheetData>
  <mergeCells count="3">
    <mergeCell ref="E38:E39"/>
    <mergeCell ref="Q5:Z5"/>
    <mergeCell ref="B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1:L48"/>
  <sheetViews>
    <sheetView showGridLines="0" zoomScale="72" zoomScaleNormal="90" zoomScaleSheetLayoutView="95" workbookViewId="0"/>
  </sheetViews>
  <sheetFormatPr defaultColWidth="9.140625" defaultRowHeight="13.9" zeroHeight="1"/>
  <cols>
    <col min="1" max="1" width="6.85546875" style="3" customWidth="1"/>
    <col min="2" max="2" width="5.85546875" style="3" customWidth="1"/>
    <col min="3" max="3" width="69.5703125" style="3" customWidth="1"/>
    <col min="4" max="4" width="32.28515625" style="3" bestFit="1" customWidth="1"/>
    <col min="5" max="5" width="28.42578125" style="3" bestFit="1" customWidth="1"/>
    <col min="6" max="8" width="18.7109375" style="3" customWidth="1"/>
    <col min="9" max="16" width="20.28515625" style="3" customWidth="1"/>
    <col min="17" max="16384" width="9.140625" style="3"/>
  </cols>
  <sheetData>
    <row r="1" spans="2:10"/>
    <row r="2" spans="2:10" s="19" customFormat="1" ht="15.6">
      <c r="B2" s="409" t="s">
        <v>19</v>
      </c>
      <c r="C2" s="409"/>
      <c r="D2" s="409"/>
      <c r="E2" s="409"/>
      <c r="F2" s="409"/>
      <c r="G2" s="409"/>
      <c r="H2" s="409"/>
      <c r="I2" s="409"/>
      <c r="J2" s="409"/>
    </row>
    <row r="3" spans="2:10" s="19" customFormat="1" ht="15.6">
      <c r="B3" s="410" t="s">
        <v>1</v>
      </c>
      <c r="C3" s="410"/>
      <c r="D3" s="410"/>
      <c r="E3" s="410"/>
      <c r="F3" s="410"/>
      <c r="G3" s="410"/>
      <c r="H3" s="410"/>
      <c r="I3" s="410"/>
      <c r="J3" s="410"/>
    </row>
    <row r="4" spans="2:10" s="19" customFormat="1" ht="15.6">
      <c r="B4" s="409" t="s">
        <v>20</v>
      </c>
      <c r="C4" s="409"/>
      <c r="D4" s="409"/>
      <c r="E4" s="409"/>
      <c r="F4" s="409"/>
      <c r="G4" s="409"/>
      <c r="H4" s="409"/>
      <c r="I4" s="409"/>
      <c r="J4" s="409"/>
    </row>
    <row r="5" spans="2:10"/>
    <row r="6" spans="2:10">
      <c r="J6" s="5" t="s">
        <v>21</v>
      </c>
    </row>
    <row r="7" spans="2:10" s="16" customFormat="1">
      <c r="B7" s="403" t="s">
        <v>2</v>
      </c>
      <c r="C7" s="406" t="s">
        <v>22</v>
      </c>
      <c r="D7" s="403" t="s">
        <v>23</v>
      </c>
      <c r="E7" s="411" t="s">
        <v>24</v>
      </c>
      <c r="F7" s="411"/>
      <c r="G7" s="411"/>
      <c r="H7" s="411"/>
      <c r="I7" s="411"/>
      <c r="J7" s="411" t="s">
        <v>25</v>
      </c>
    </row>
    <row r="8" spans="2:10" s="16" customFormat="1">
      <c r="B8" s="404"/>
      <c r="C8" s="406"/>
      <c r="D8" s="404"/>
      <c r="E8" s="50" t="s">
        <v>26</v>
      </c>
      <c r="F8" s="50" t="s">
        <v>27</v>
      </c>
      <c r="G8" s="50" t="s">
        <v>28</v>
      </c>
      <c r="H8" s="50" t="s">
        <v>29</v>
      </c>
      <c r="I8" s="50" t="s">
        <v>30</v>
      </c>
      <c r="J8" s="411"/>
    </row>
    <row r="9" spans="2:10" s="16" customFormat="1">
      <c r="B9" s="405"/>
      <c r="C9" s="407"/>
      <c r="D9" s="408"/>
      <c r="E9" s="50" t="s">
        <v>31</v>
      </c>
      <c r="F9" s="50" t="s">
        <v>31</v>
      </c>
      <c r="G9" s="50" t="s">
        <v>31</v>
      </c>
      <c r="H9" s="50" t="s">
        <v>31</v>
      </c>
      <c r="I9" s="50" t="s">
        <v>31</v>
      </c>
      <c r="J9" s="412"/>
    </row>
    <row r="10" spans="2:10" ht="15.6">
      <c r="B10" s="22">
        <v>1</v>
      </c>
      <c r="C10" s="76" t="s">
        <v>32</v>
      </c>
      <c r="D10" s="97" t="s">
        <v>33</v>
      </c>
      <c r="E10" s="110">
        <f>'Tr L ARR'!E22</f>
        <v>7618.4599999999991</v>
      </c>
      <c r="F10" s="110">
        <f>'Tr L ARR'!H22</f>
        <v>8146.77</v>
      </c>
      <c r="G10" s="110">
        <f>'Tr L ARR'!K22</f>
        <v>9482.4500000000007</v>
      </c>
      <c r="H10" s="110">
        <f>'Tr L ARR'!N22</f>
        <v>10694.93</v>
      </c>
      <c r="I10" s="110">
        <f>'Tr L ARR'!Q22</f>
        <v>11469.14</v>
      </c>
      <c r="J10" s="4"/>
    </row>
    <row r="11" spans="2:10" ht="15.6">
      <c r="B11" s="22">
        <v>2</v>
      </c>
      <c r="C11" s="77" t="s">
        <v>34</v>
      </c>
      <c r="D11" s="97" t="s">
        <v>35</v>
      </c>
      <c r="E11" s="110">
        <f>'Tr L ARR'!E23</f>
        <v>111.61</v>
      </c>
      <c r="F11" s="110">
        <f>'Tr L ARR'!H23</f>
        <v>66.44</v>
      </c>
      <c r="G11" s="110">
        <f>'Tr L ARR'!K23</f>
        <v>66.95</v>
      </c>
      <c r="H11" s="110">
        <f>'Tr L ARR'!N23</f>
        <v>67.58</v>
      </c>
      <c r="I11" s="110">
        <f>'Tr L ARR'!Q23</f>
        <v>68.290000000000006</v>
      </c>
      <c r="J11" s="4"/>
    </row>
    <row r="12" spans="2:10" ht="15.6">
      <c r="B12" s="22">
        <v>3</v>
      </c>
      <c r="C12" s="77" t="s">
        <v>36</v>
      </c>
      <c r="D12" s="97" t="s">
        <v>37</v>
      </c>
      <c r="E12" s="110">
        <f>'Tr L ARR'!E24</f>
        <v>1285.52</v>
      </c>
      <c r="F12" s="110">
        <f>'Tr L ARR'!H24</f>
        <v>874.89</v>
      </c>
      <c r="G12" s="110">
        <f>'Tr L ARR'!K24</f>
        <v>833.99</v>
      </c>
      <c r="H12" s="110">
        <f>'Tr L ARR'!N24</f>
        <v>822.12</v>
      </c>
      <c r="I12" s="110">
        <f>'Tr L ARR'!Q24</f>
        <v>811.09</v>
      </c>
      <c r="J12" s="4"/>
    </row>
    <row r="13" spans="2:10" ht="15.6">
      <c r="B13" s="22">
        <v>4</v>
      </c>
      <c r="C13" s="21" t="s">
        <v>38</v>
      </c>
      <c r="D13" s="98" t="s">
        <v>39</v>
      </c>
      <c r="E13" s="110">
        <v>5.443303758340476</v>
      </c>
      <c r="F13" s="110">
        <v>3.6594004663834525</v>
      </c>
      <c r="G13" s="110">
        <v>3.5666735518962978</v>
      </c>
      <c r="H13" s="110">
        <v>2.6076899914869354</v>
      </c>
      <c r="I13" s="110">
        <v>2.624115687404319</v>
      </c>
      <c r="J13" s="4"/>
    </row>
    <row r="14" spans="2:10" ht="15.6">
      <c r="B14" s="22">
        <v>5</v>
      </c>
      <c r="C14" s="77" t="s">
        <v>40</v>
      </c>
      <c r="D14" s="97" t="s">
        <v>41</v>
      </c>
      <c r="E14" s="110">
        <f>'Tr L ARR'!E26</f>
        <v>647.82000000000005</v>
      </c>
      <c r="F14" s="110">
        <f>'Tr L ARR'!H26</f>
        <v>629.88</v>
      </c>
      <c r="G14" s="110">
        <f>'Tr L ARR'!K26</f>
        <v>823.01</v>
      </c>
      <c r="H14" s="110">
        <f>'Tr L ARR'!N26</f>
        <v>1176.6199999999999</v>
      </c>
      <c r="I14" s="110">
        <f>'Tr L ARR'!Q26</f>
        <v>1554.63</v>
      </c>
      <c r="J14" s="4"/>
    </row>
    <row r="15" spans="2:10" ht="15.6">
      <c r="B15" s="22">
        <v>6</v>
      </c>
      <c r="C15" s="21" t="s">
        <v>42</v>
      </c>
      <c r="D15" s="98" t="s">
        <v>43</v>
      </c>
      <c r="E15" s="110">
        <f>'Tr L ARR'!E27</f>
        <v>1777.33</v>
      </c>
      <c r="F15" s="110">
        <f>'Tr L ARR'!H27</f>
        <v>1850.05</v>
      </c>
      <c r="G15" s="110">
        <f>'Tr L ARR'!K27</f>
        <v>2367.0100000000002</v>
      </c>
      <c r="H15" s="110">
        <f>'Tr L ARR'!N27</f>
        <v>2569.73</v>
      </c>
      <c r="I15" s="110">
        <f>'Tr L ARR'!Q27</f>
        <v>2745.79</v>
      </c>
      <c r="J15" s="4"/>
    </row>
    <row r="16" spans="2:10" s="12" customFormat="1" ht="15.6">
      <c r="B16" s="22">
        <v>7</v>
      </c>
      <c r="C16" s="77" t="s">
        <v>44</v>
      </c>
      <c r="D16" s="97" t="s">
        <v>45</v>
      </c>
      <c r="E16" s="110">
        <f>'Tr L ARR'!E28</f>
        <v>47.88</v>
      </c>
      <c r="F16" s="110">
        <f>'Tr L ARR'!H28</f>
        <v>43.63</v>
      </c>
      <c r="G16" s="110">
        <f>'Tr L ARR'!K28</f>
        <v>43.42</v>
      </c>
      <c r="H16" s="110">
        <f>'Tr L ARR'!N28</f>
        <v>43.54</v>
      </c>
      <c r="I16" s="110">
        <f>'Tr L ARR'!Q28</f>
        <v>43.75</v>
      </c>
      <c r="J16" s="4"/>
    </row>
    <row r="17" spans="2:12" ht="15.6">
      <c r="B17" s="22">
        <v>8</v>
      </c>
      <c r="C17" s="77" t="s">
        <v>46</v>
      </c>
      <c r="D17" s="97" t="s">
        <v>47</v>
      </c>
      <c r="E17" s="110">
        <f>'Tr L ARR'!E29</f>
        <v>42.82</v>
      </c>
      <c r="F17" s="110">
        <f>'Tr L ARR'!H29</f>
        <v>37.44</v>
      </c>
      <c r="G17" s="110">
        <f>'Tr L ARR'!K29</f>
        <v>36.14</v>
      </c>
      <c r="H17" s="110">
        <f>'Tr L ARR'!N29</f>
        <v>34.86</v>
      </c>
      <c r="I17" s="110">
        <f>'Tr L ARR'!Q29</f>
        <v>23.58</v>
      </c>
      <c r="J17" s="4"/>
    </row>
    <row r="18" spans="2:12" ht="15.6">
      <c r="B18" s="22">
        <v>9</v>
      </c>
      <c r="C18" s="20" t="s">
        <v>48</v>
      </c>
      <c r="D18" s="97" t="s">
        <v>49</v>
      </c>
      <c r="E18" s="110">
        <f>'Tr L ARR'!E30</f>
        <v>302.5</v>
      </c>
      <c r="F18" s="110">
        <f>'Tr L ARR'!H30</f>
        <v>302.5</v>
      </c>
      <c r="G18" s="110">
        <f>'Tr L ARR'!K30</f>
        <v>302.5</v>
      </c>
      <c r="H18" s="110">
        <f>'Tr L ARR'!N30</f>
        <v>212.05</v>
      </c>
      <c r="I18" s="110">
        <f>'Tr L ARR'!Q30</f>
        <v>212.05</v>
      </c>
      <c r="J18" s="4"/>
    </row>
    <row r="19" spans="2:12" ht="31.15">
      <c r="B19" s="20"/>
      <c r="C19" s="53" t="s">
        <v>50</v>
      </c>
      <c r="D19" s="20"/>
      <c r="E19" s="126">
        <f>SUM(E10:E18)</f>
        <v>11839.383303758337</v>
      </c>
      <c r="F19" s="126">
        <f t="shared" ref="F19:I19" si="0">SUM(F10:F18)</f>
        <v>11955.259400466382</v>
      </c>
      <c r="G19" s="126">
        <f t="shared" si="0"/>
        <v>13959.036673551898</v>
      </c>
      <c r="H19" s="126">
        <f t="shared" si="0"/>
        <v>15624.037689991488</v>
      </c>
      <c r="I19" s="126">
        <f t="shared" si="0"/>
        <v>16930.944115687405</v>
      </c>
      <c r="J19" s="4"/>
    </row>
    <row r="20" spans="2:12" ht="15.6">
      <c r="B20" s="23"/>
      <c r="C20" s="24"/>
      <c r="D20" s="24"/>
      <c r="E20" s="100"/>
      <c r="F20" s="25"/>
      <c r="G20" s="25"/>
      <c r="H20" s="25"/>
    </row>
    <row r="21" spans="2:12">
      <c r="E21" s="102"/>
      <c r="F21" s="102"/>
      <c r="G21" s="102"/>
      <c r="H21" s="102"/>
      <c r="I21" s="102"/>
    </row>
    <row r="22" spans="2:12" hidden="1">
      <c r="B22" s="16"/>
      <c r="E22" s="101"/>
    </row>
    <row r="23" spans="2:12" hidden="1">
      <c r="L23" s="5" t="s">
        <v>21</v>
      </c>
    </row>
    <row r="24" spans="2:12" hidden="1">
      <c r="B24" s="403" t="s">
        <v>2</v>
      </c>
      <c r="C24" s="406" t="s">
        <v>22</v>
      </c>
      <c r="D24" s="403" t="s">
        <v>23</v>
      </c>
      <c r="E24" s="109"/>
      <c r="F24" s="109"/>
      <c r="G24" s="109"/>
      <c r="H24" s="109"/>
      <c r="I24" s="109"/>
      <c r="J24" s="109"/>
      <c r="K24" s="109"/>
      <c r="L24" s="109"/>
    </row>
    <row r="25" spans="2:12" hidden="1">
      <c r="B25" s="404"/>
      <c r="C25" s="406"/>
      <c r="D25" s="404"/>
      <c r="E25" s="50" t="s">
        <v>51</v>
      </c>
      <c r="F25" s="50" t="s">
        <v>51</v>
      </c>
      <c r="G25" s="50" t="s">
        <v>52</v>
      </c>
      <c r="H25" s="50" t="s">
        <v>52</v>
      </c>
      <c r="I25" s="50" t="s">
        <v>53</v>
      </c>
      <c r="J25" s="50" t="s">
        <v>53</v>
      </c>
      <c r="K25" s="50" t="s">
        <v>53</v>
      </c>
      <c r="L25" s="50" t="s">
        <v>53</v>
      </c>
    </row>
    <row r="26" spans="2:12" hidden="1">
      <c r="B26" s="405"/>
      <c r="C26" s="407"/>
      <c r="D26" s="408"/>
      <c r="E26" s="50" t="s">
        <v>54</v>
      </c>
      <c r="F26" s="50" t="s">
        <v>55</v>
      </c>
      <c r="G26" s="50" t="s">
        <v>54</v>
      </c>
      <c r="H26" s="50" t="s">
        <v>55</v>
      </c>
      <c r="I26" s="50" t="s">
        <v>54</v>
      </c>
      <c r="J26" s="50" t="s">
        <v>56</v>
      </c>
      <c r="K26" s="50" t="s">
        <v>57</v>
      </c>
      <c r="L26" s="50" t="s">
        <v>58</v>
      </c>
    </row>
    <row r="27" spans="2:12" ht="15.6" hidden="1">
      <c r="B27" s="22">
        <v>1</v>
      </c>
      <c r="C27" s="76" t="s">
        <v>32</v>
      </c>
      <c r="D27" s="97"/>
      <c r="E27" s="110">
        <f t="shared" ref="E27:E34" si="1">E39</f>
        <v>4621.6000000000004</v>
      </c>
      <c r="F27" s="110">
        <v>5098.5</v>
      </c>
      <c r="G27" s="110">
        <v>6480.14</v>
      </c>
      <c r="H27" s="110">
        <v>6480.14</v>
      </c>
      <c r="I27" s="110">
        <v>6483.43</v>
      </c>
      <c r="J27" s="110">
        <f t="shared" ref="J27:J33" si="2">L27/2</f>
        <v>3204.5549999999998</v>
      </c>
      <c r="K27" s="110">
        <f t="shared" ref="K27:K33" si="3">L27/2</f>
        <v>3204.5549999999998</v>
      </c>
      <c r="L27" s="110">
        <v>6409.11</v>
      </c>
    </row>
    <row r="28" spans="2:12" ht="15.6" hidden="1">
      <c r="B28" s="22">
        <v>2</v>
      </c>
      <c r="C28" s="77" t="s">
        <v>34</v>
      </c>
      <c r="D28" s="97"/>
      <c r="E28" s="110">
        <f t="shared" si="1"/>
        <v>105.23</v>
      </c>
      <c r="F28" s="124">
        <v>108.68</v>
      </c>
      <c r="G28" s="110">
        <v>140.94</v>
      </c>
      <c r="H28" s="110">
        <v>140.94</v>
      </c>
      <c r="I28" s="110">
        <v>139.55000000000001</v>
      </c>
      <c r="J28" s="110">
        <f t="shared" si="2"/>
        <v>70.47</v>
      </c>
      <c r="K28" s="110">
        <f t="shared" si="3"/>
        <v>70.47</v>
      </c>
      <c r="L28" s="110">
        <v>140.94</v>
      </c>
    </row>
    <row r="29" spans="2:12" ht="15.6" hidden="1">
      <c r="B29" s="22">
        <v>3</v>
      </c>
      <c r="C29" s="77" t="s">
        <v>36</v>
      </c>
      <c r="D29" s="97"/>
      <c r="E29" s="110">
        <f t="shared" si="1"/>
        <v>946.53</v>
      </c>
      <c r="F29" s="110">
        <v>991.79</v>
      </c>
      <c r="G29" s="110">
        <v>1667.25</v>
      </c>
      <c r="H29" s="110">
        <v>1667.25</v>
      </c>
      <c r="I29" s="110">
        <v>1666.17</v>
      </c>
      <c r="J29" s="110">
        <f t="shared" si="2"/>
        <v>833.625</v>
      </c>
      <c r="K29" s="110">
        <f t="shared" si="3"/>
        <v>833.625</v>
      </c>
      <c r="L29" s="110">
        <v>1667.25</v>
      </c>
    </row>
    <row r="30" spans="2:12" ht="15.6" hidden="1">
      <c r="B30" s="22">
        <v>4</v>
      </c>
      <c r="C30" s="21" t="s">
        <v>38</v>
      </c>
      <c r="D30" s="98"/>
      <c r="E30" s="110">
        <f>E42</f>
        <v>3.66</v>
      </c>
      <c r="F30" s="125">
        <v>3.65</v>
      </c>
      <c r="G30" s="110">
        <v>3.65</v>
      </c>
      <c r="H30" s="125">
        <v>3.65</v>
      </c>
      <c r="I30" s="110">
        <v>3.62</v>
      </c>
      <c r="J30" s="125">
        <f>L30/2</f>
        <v>1.825</v>
      </c>
      <c r="K30" s="110">
        <f>L30/2</f>
        <v>1.825</v>
      </c>
      <c r="L30" s="110">
        <v>3.65</v>
      </c>
    </row>
    <row r="31" spans="2:12" ht="15.6" hidden="1">
      <c r="B31" s="22">
        <v>5</v>
      </c>
      <c r="C31" s="77" t="s">
        <v>40</v>
      </c>
      <c r="D31" s="97"/>
      <c r="E31" s="110">
        <f t="shared" si="1"/>
        <v>322.3</v>
      </c>
      <c r="F31" s="110">
        <v>344.97</v>
      </c>
      <c r="G31" s="110">
        <v>373.04</v>
      </c>
      <c r="H31" s="110">
        <v>373.04</v>
      </c>
      <c r="I31" s="110">
        <v>374.71</v>
      </c>
      <c r="J31" s="110">
        <f t="shared" si="2"/>
        <v>186.52</v>
      </c>
      <c r="K31" s="110">
        <f t="shared" si="3"/>
        <v>186.52</v>
      </c>
      <c r="L31" s="110">
        <v>373.04</v>
      </c>
    </row>
    <row r="32" spans="2:12" ht="15.6" hidden="1">
      <c r="B32" s="22">
        <v>6</v>
      </c>
      <c r="C32" s="21" t="s">
        <v>42</v>
      </c>
      <c r="D32" s="98"/>
      <c r="E32" s="110">
        <f t="shared" si="1"/>
        <v>799.01</v>
      </c>
      <c r="F32" s="110">
        <v>913.75</v>
      </c>
      <c r="G32" s="110">
        <v>925.7</v>
      </c>
      <c r="H32" s="110">
        <v>925.7</v>
      </c>
      <c r="I32" s="110">
        <v>925.71</v>
      </c>
      <c r="J32" s="110">
        <f t="shared" si="2"/>
        <v>462.85</v>
      </c>
      <c r="K32" s="110">
        <f t="shared" si="3"/>
        <v>462.85</v>
      </c>
      <c r="L32" s="110">
        <v>925.7</v>
      </c>
    </row>
    <row r="33" spans="2:12" ht="15.6" hidden="1">
      <c r="B33" s="22">
        <v>7</v>
      </c>
      <c r="C33" s="77" t="s">
        <v>44</v>
      </c>
      <c r="D33" s="99"/>
      <c r="E33" s="110">
        <f t="shared" si="1"/>
        <v>67.55</v>
      </c>
      <c r="F33" s="110">
        <v>70.31</v>
      </c>
      <c r="G33" s="110">
        <v>66.540000000000006</v>
      </c>
      <c r="H33" s="110">
        <v>66.540000000000006</v>
      </c>
      <c r="I33" s="110">
        <v>64.28</v>
      </c>
      <c r="J33" s="110">
        <f t="shared" si="2"/>
        <v>33.270000000000003</v>
      </c>
      <c r="K33" s="110">
        <f t="shared" si="3"/>
        <v>33.270000000000003</v>
      </c>
      <c r="L33" s="110">
        <v>66.540000000000006</v>
      </c>
    </row>
    <row r="34" spans="2:12" ht="15.6" hidden="1">
      <c r="B34" s="22">
        <v>8</v>
      </c>
      <c r="C34" s="77" t="s">
        <v>46</v>
      </c>
      <c r="D34" s="97"/>
      <c r="E34" s="110">
        <f t="shared" si="1"/>
        <v>45.45</v>
      </c>
      <c r="F34" s="110">
        <v>43.42</v>
      </c>
      <c r="G34" s="110">
        <v>47.54</v>
      </c>
      <c r="H34" s="110">
        <v>47.54</v>
      </c>
      <c r="I34" s="110">
        <v>44.55</v>
      </c>
      <c r="J34" s="110">
        <v>22.43</v>
      </c>
      <c r="K34" s="110">
        <v>22.43</v>
      </c>
      <c r="L34" s="110">
        <f>SUM(J34:K34)</f>
        <v>44.86</v>
      </c>
    </row>
    <row r="35" spans="2:12" ht="15.6" hidden="1">
      <c r="B35" s="22">
        <v>9</v>
      </c>
      <c r="C35" s="20" t="s">
        <v>48</v>
      </c>
      <c r="D35" s="97"/>
      <c r="E35" s="110" t="s">
        <v>59</v>
      </c>
      <c r="F35" s="110" t="s">
        <v>59</v>
      </c>
      <c r="G35" s="110" t="s">
        <v>59</v>
      </c>
      <c r="H35" s="110" t="s">
        <v>59</v>
      </c>
      <c r="I35" s="110">
        <v>302.5</v>
      </c>
      <c r="J35" s="110" t="s">
        <v>59</v>
      </c>
      <c r="K35" s="110" t="s">
        <v>59</v>
      </c>
      <c r="L35" s="110">
        <f>SUM(J35:K35)</f>
        <v>0</v>
      </c>
    </row>
    <row r="36" spans="2:12" ht="31.15" hidden="1">
      <c r="B36" s="20"/>
      <c r="C36" s="53" t="s">
        <v>50</v>
      </c>
      <c r="D36" s="20"/>
      <c r="E36" s="126">
        <f t="shared" ref="E36:L36" si="4">SUM(E27:E35)</f>
        <v>6911.33</v>
      </c>
      <c r="F36" s="126">
        <f t="shared" si="4"/>
        <v>7575.0700000000006</v>
      </c>
      <c r="G36" s="126">
        <f t="shared" si="4"/>
        <v>9704.8000000000029</v>
      </c>
      <c r="H36" s="126">
        <f t="shared" si="4"/>
        <v>9704.8000000000029</v>
      </c>
      <c r="I36" s="126">
        <f t="shared" si="4"/>
        <v>10004.520000000002</v>
      </c>
      <c r="J36" s="126">
        <f t="shared" si="4"/>
        <v>4815.545000000001</v>
      </c>
      <c r="K36" s="126">
        <f t="shared" si="4"/>
        <v>4815.545000000001</v>
      </c>
      <c r="L36" s="126">
        <f t="shared" si="4"/>
        <v>9631.090000000002</v>
      </c>
    </row>
    <row r="38" spans="2:12" hidden="1">
      <c r="E38" s="123" t="s">
        <v>60</v>
      </c>
    </row>
    <row r="39" spans="2:12" ht="15.6" hidden="1">
      <c r="C39" s="77" t="s">
        <v>32</v>
      </c>
      <c r="D39" s="4" t="s">
        <v>61</v>
      </c>
      <c r="E39" s="120">
        <v>4621.6000000000004</v>
      </c>
      <c r="F39" s="122" t="s">
        <v>62</v>
      </c>
    </row>
    <row r="40" spans="2:12" ht="15.6" hidden="1">
      <c r="C40" s="77" t="s">
        <v>34</v>
      </c>
      <c r="D40" s="4" t="s">
        <v>63</v>
      </c>
      <c r="E40" s="4">
        <v>105.23</v>
      </c>
      <c r="F40" s="122" t="s">
        <v>64</v>
      </c>
    </row>
    <row r="41" spans="2:12" ht="15.6" hidden="1">
      <c r="C41" s="77" t="s">
        <v>36</v>
      </c>
      <c r="D41" s="4" t="s">
        <v>65</v>
      </c>
      <c r="E41" s="4">
        <v>946.53</v>
      </c>
      <c r="F41" s="122" t="s">
        <v>66</v>
      </c>
    </row>
    <row r="42" spans="2:12" ht="15.6" hidden="1">
      <c r="C42" s="21" t="s">
        <v>38</v>
      </c>
      <c r="D42" s="4" t="s">
        <v>67</v>
      </c>
      <c r="E42" s="4">
        <v>3.66</v>
      </c>
      <c r="F42" s="122" t="s">
        <v>68</v>
      </c>
    </row>
    <row r="43" spans="2:12" ht="15.6" hidden="1">
      <c r="C43" s="77" t="s">
        <v>40</v>
      </c>
      <c r="D43" s="4" t="s">
        <v>69</v>
      </c>
      <c r="E43" s="4">
        <v>322.3</v>
      </c>
      <c r="F43" s="122" t="s">
        <v>70</v>
      </c>
    </row>
    <row r="44" spans="2:12" ht="15.6" hidden="1">
      <c r="C44" s="21" t="s">
        <v>42</v>
      </c>
      <c r="D44" s="4" t="s">
        <v>71</v>
      </c>
      <c r="E44" s="4">
        <v>799.01</v>
      </c>
      <c r="F44" s="122" t="s">
        <v>72</v>
      </c>
    </row>
    <row r="45" spans="2:12" ht="15.6" hidden="1">
      <c r="C45" s="77" t="s">
        <v>44</v>
      </c>
      <c r="D45" s="4" t="s">
        <v>73</v>
      </c>
      <c r="E45" s="4">
        <v>67.55</v>
      </c>
      <c r="F45" s="122" t="s">
        <v>74</v>
      </c>
    </row>
    <row r="46" spans="2:12" ht="15.6" hidden="1">
      <c r="C46" s="77" t="s">
        <v>46</v>
      </c>
      <c r="D46" s="4" t="s">
        <v>75</v>
      </c>
      <c r="E46" s="4">
        <v>45.45</v>
      </c>
      <c r="F46" s="122" t="s">
        <v>76</v>
      </c>
    </row>
    <row r="47" spans="2:12" ht="15.6" hidden="1">
      <c r="C47" s="20" t="s">
        <v>48</v>
      </c>
      <c r="D47" s="4" t="s">
        <v>77</v>
      </c>
      <c r="E47" s="4"/>
    </row>
    <row r="48" spans="2:12" hidden="1">
      <c r="C48" s="4"/>
      <c r="D48" s="4"/>
      <c r="E48" s="4"/>
    </row>
  </sheetData>
  <mergeCells count="11">
    <mergeCell ref="B24:B26"/>
    <mergeCell ref="C24:C26"/>
    <mergeCell ref="D24:D26"/>
    <mergeCell ref="B2:J2"/>
    <mergeCell ref="B3:J3"/>
    <mergeCell ref="B4:J4"/>
    <mergeCell ref="E7:I7"/>
    <mergeCell ref="J7:J9"/>
    <mergeCell ref="B7:B9"/>
    <mergeCell ref="C7:C9"/>
    <mergeCell ref="D7:D9"/>
  </mergeCells>
  <phoneticPr fontId="0" type="noConversion"/>
  <hyperlinks>
    <hyperlink ref="F39" r:id="rId1" xr:uid="{3BAEA175-2465-4C04-8708-4D9AA9369678}"/>
    <hyperlink ref="F40" r:id="rId2" xr:uid="{10710498-3EA8-4C1C-83C1-774B523CBAA9}"/>
    <hyperlink ref="F41" r:id="rId3" xr:uid="{E1DD7190-540F-4B31-BA39-DFCB73C545DF}"/>
    <hyperlink ref="F42" r:id="rId4" xr:uid="{B2C03203-A036-4D7A-9F53-EA38E22018C2}"/>
    <hyperlink ref="F43" r:id="rId5" xr:uid="{11C3F3ED-09D2-4FC6-905B-5C4E038E3FE6}"/>
    <hyperlink ref="F44" r:id="rId6" xr:uid="{856B120F-ADE3-4817-B82D-B4446C8A5F6F}"/>
    <hyperlink ref="F45" r:id="rId7" xr:uid="{45059824-1115-47EC-AF3F-58ECF7B9300E}"/>
    <hyperlink ref="F46" r:id="rId8" xr:uid="{D2638BD7-AD26-436C-8807-7718099C2090}"/>
  </hyperlinks>
  <printOptions verticalCentered="1"/>
  <pageMargins left="0.25" right="0.25" top="0.25" bottom="0.25" header="0.25" footer="0.25"/>
  <pageSetup paperSize="9" scale="53" orientation="landscape" r:id="rId9"/>
  <headerFooter alignWithMargins="0">
    <oddHeader>&amp;F</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C57DC-204B-411C-B457-39FD7EB8D859}">
  <dimension ref="A2:O23"/>
  <sheetViews>
    <sheetView zoomScale="61" workbookViewId="0">
      <selection activeCell="O4" sqref="O4"/>
    </sheetView>
  </sheetViews>
  <sheetFormatPr defaultRowHeight="13.15"/>
  <cols>
    <col min="2" max="2" width="49" customWidth="1"/>
    <col min="3" max="14" width="12.28515625" customWidth="1"/>
    <col min="15" max="15" width="10.7109375" bestFit="1" customWidth="1"/>
  </cols>
  <sheetData>
    <row r="2" spans="1:15" ht="13.9">
      <c r="B2" s="128"/>
      <c r="O2" s="260" t="s">
        <v>337</v>
      </c>
    </row>
    <row r="3" spans="1:15" ht="13.9">
      <c r="A3" s="66" t="s">
        <v>2</v>
      </c>
      <c r="B3" s="66" t="s">
        <v>82</v>
      </c>
      <c r="C3" s="143" t="s">
        <v>338</v>
      </c>
      <c r="D3" s="143" t="s">
        <v>339</v>
      </c>
      <c r="E3" s="143" t="s">
        <v>340</v>
      </c>
      <c r="F3" s="143" t="s">
        <v>341</v>
      </c>
      <c r="G3" s="143" t="s">
        <v>342</v>
      </c>
      <c r="H3" s="67" t="s">
        <v>343</v>
      </c>
      <c r="I3" s="67" t="s">
        <v>344</v>
      </c>
      <c r="J3" s="67" t="s">
        <v>345</v>
      </c>
      <c r="K3" s="67" t="s">
        <v>346</v>
      </c>
      <c r="L3" s="67" t="s">
        <v>347</v>
      </c>
      <c r="M3" s="67" t="s">
        <v>348</v>
      </c>
      <c r="N3" s="67" t="s">
        <v>349</v>
      </c>
      <c r="O3" s="146" t="s">
        <v>350</v>
      </c>
    </row>
    <row r="4" spans="1:15" ht="13.9">
      <c r="A4" s="68">
        <v>1</v>
      </c>
      <c r="B4" s="10" t="s">
        <v>96</v>
      </c>
      <c r="C4" s="144">
        <v>23796.40090880925</v>
      </c>
      <c r="D4" s="144">
        <v>23220.999010921078</v>
      </c>
      <c r="E4" s="144">
        <v>23925.065047344586</v>
      </c>
      <c r="F4" s="144">
        <v>24128.503229134425</v>
      </c>
      <c r="G4" s="144">
        <v>23955.496518235355</v>
      </c>
      <c r="H4" s="144">
        <v>23828.224759142235</v>
      </c>
      <c r="I4" s="144">
        <v>23610.246707329679</v>
      </c>
      <c r="J4" s="144">
        <v>23220.513977602655</v>
      </c>
      <c r="K4" s="144">
        <v>20533.157620279359</v>
      </c>
      <c r="L4" s="144">
        <v>20618.737662874872</v>
      </c>
      <c r="M4" s="144">
        <v>20104.804599999999</v>
      </c>
      <c r="N4" s="144">
        <v>20904.417119999998</v>
      </c>
      <c r="O4" s="144">
        <f>AVERAGE(C4:N4)</f>
        <v>22653.880596806121</v>
      </c>
    </row>
    <row r="5" spans="1:15" ht="13.9">
      <c r="A5" s="68">
        <v>2</v>
      </c>
      <c r="B5" s="10" t="s">
        <v>97</v>
      </c>
      <c r="C5" s="144">
        <v>868.33890323246919</v>
      </c>
      <c r="D5" s="144">
        <v>799.83785287451065</v>
      </c>
      <c r="E5" s="144">
        <v>792.54590366405932</v>
      </c>
      <c r="F5" s="144">
        <v>810.26053853296185</v>
      </c>
      <c r="G5" s="144">
        <v>895.02146916003721</v>
      </c>
      <c r="H5" s="144">
        <v>1016.7862426188749</v>
      </c>
      <c r="I5" s="144">
        <v>999.46492298149485</v>
      </c>
      <c r="J5" s="144">
        <v>1049.48417669017</v>
      </c>
      <c r="K5" s="144">
        <v>931.70021727884114</v>
      </c>
      <c r="L5" s="144">
        <v>912.85398138572907</v>
      </c>
      <c r="M5" s="144">
        <v>926.31539999999995</v>
      </c>
      <c r="N5" s="144">
        <v>919.14524000000006</v>
      </c>
      <c r="O5" s="144">
        <f t="shared" ref="O5:O18" si="0">AVERAGE(C5:N5)</f>
        <v>910.1462373682624</v>
      </c>
    </row>
    <row r="6" spans="1:15" ht="13.9">
      <c r="A6" s="68">
        <v>3</v>
      </c>
      <c r="B6" s="10" t="s">
        <v>98</v>
      </c>
      <c r="C6" s="144">
        <v>1585.0049571413817</v>
      </c>
      <c r="D6" s="144">
        <v>1404.23562744694</v>
      </c>
      <c r="E6" s="144">
        <v>1382.5883902840674</v>
      </c>
      <c r="F6" s="144">
        <v>1457.4521613535542</v>
      </c>
      <c r="G6" s="144">
        <v>1627.9597685711333</v>
      </c>
      <c r="H6" s="144">
        <v>1829.5554957008183</v>
      </c>
      <c r="I6" s="144">
        <v>1895.5015403701022</v>
      </c>
      <c r="J6" s="144">
        <v>2001.5419328079633</v>
      </c>
      <c r="K6" s="144">
        <v>1649.4802690118986</v>
      </c>
      <c r="L6" s="144">
        <v>1619.352037228542</v>
      </c>
      <c r="M6" s="144">
        <v>1629.0871999999999</v>
      </c>
      <c r="N6" s="144">
        <v>1778.5705600000001</v>
      </c>
      <c r="O6" s="144">
        <f t="shared" si="0"/>
        <v>1655.0274949930335</v>
      </c>
    </row>
    <row r="7" spans="1:15" ht="13.9">
      <c r="A7" s="68">
        <v>4</v>
      </c>
      <c r="B7" s="10" t="s">
        <v>99</v>
      </c>
      <c r="C7" s="144">
        <v>812.19655065578854</v>
      </c>
      <c r="D7" s="144">
        <v>706.30311147743669</v>
      </c>
      <c r="E7" s="144">
        <v>675.91469740634011</v>
      </c>
      <c r="F7" s="144">
        <v>717.03097080367274</v>
      </c>
      <c r="G7" s="144">
        <v>805.63293728690985</v>
      </c>
      <c r="H7" s="144">
        <v>901.51925826168031</v>
      </c>
      <c r="I7" s="144">
        <v>929.24375064612832</v>
      </c>
      <c r="J7" s="144">
        <v>984.42492741600995</v>
      </c>
      <c r="K7" s="144">
        <v>803.39019141231256</v>
      </c>
      <c r="L7" s="144">
        <v>767.67154084798347</v>
      </c>
      <c r="M7" s="144">
        <v>801.06071999999995</v>
      </c>
      <c r="N7" s="144">
        <v>837.77649999999994</v>
      </c>
      <c r="O7" s="144">
        <f t="shared" si="0"/>
        <v>811.84709635118861</v>
      </c>
    </row>
    <row r="8" spans="1:15" ht="13.9">
      <c r="A8" s="68">
        <v>5</v>
      </c>
      <c r="B8" s="10" t="s">
        <v>100</v>
      </c>
      <c r="C8" s="144">
        <v>489.08542806981302</v>
      </c>
      <c r="D8" s="144">
        <v>485.58695652173913</v>
      </c>
      <c r="E8" s="144">
        <v>484.22107863318234</v>
      </c>
      <c r="F8" s="144">
        <v>486.65573093985347</v>
      </c>
      <c r="G8" s="144">
        <v>504.46918070048559</v>
      </c>
      <c r="H8" s="144">
        <v>515.81013156531651</v>
      </c>
      <c r="I8" s="144">
        <v>521.44176573968775</v>
      </c>
      <c r="J8" s="144">
        <v>527.76020323517207</v>
      </c>
      <c r="K8" s="144">
        <v>512.43954474909469</v>
      </c>
      <c r="L8" s="144">
        <v>521.49764219234748</v>
      </c>
      <c r="M8" s="144">
        <v>505.14261999999997</v>
      </c>
      <c r="N8" s="144">
        <v>524.41192000000001</v>
      </c>
      <c r="O8" s="144">
        <f t="shared" si="0"/>
        <v>506.54351686222435</v>
      </c>
    </row>
    <row r="9" spans="1:15" ht="13.9">
      <c r="A9" s="68">
        <v>6</v>
      </c>
      <c r="B9" s="10" t="s">
        <v>101</v>
      </c>
      <c r="C9" s="144">
        <v>9.6579365898998226</v>
      </c>
      <c r="D9" s="144">
        <v>8.5713579229342667</v>
      </c>
      <c r="E9" s="144">
        <v>8.0460889254837369</v>
      </c>
      <c r="F9" s="144">
        <v>8.2633446817290821</v>
      </c>
      <c r="G9" s="144">
        <v>9.4204153321624133</v>
      </c>
      <c r="H9" s="144">
        <v>11.342670672329845</v>
      </c>
      <c r="I9" s="144">
        <v>11.113284399875942</v>
      </c>
      <c r="J9" s="144">
        <v>10.918311903774367</v>
      </c>
      <c r="K9" s="144">
        <v>9.247470253491981</v>
      </c>
      <c r="L9" s="144">
        <v>8.9650465356773523</v>
      </c>
      <c r="M9" s="144">
        <v>8.6784599999999994</v>
      </c>
      <c r="N9" s="144">
        <v>9.1846600000000009</v>
      </c>
      <c r="O9" s="144">
        <f t="shared" si="0"/>
        <v>9.4507539347799021</v>
      </c>
    </row>
    <row r="10" spans="1:15" ht="13.9">
      <c r="A10" s="68">
        <v>7</v>
      </c>
      <c r="B10" s="10" t="s">
        <v>102</v>
      </c>
      <c r="C10" s="144">
        <v>4.7373747805432194</v>
      </c>
      <c r="D10" s="144">
        <v>4.1297135792293425</v>
      </c>
      <c r="E10" s="144">
        <v>4.2185055578427333</v>
      </c>
      <c r="F10" s="144">
        <v>4.3941401011038899</v>
      </c>
      <c r="G10" s="144">
        <v>4.6569480318214698</v>
      </c>
      <c r="H10" s="144">
        <v>5.1511447218481301</v>
      </c>
      <c r="I10" s="144">
        <v>5.3723353664840268</v>
      </c>
      <c r="J10" s="144">
        <v>5.4382413936126088</v>
      </c>
      <c r="K10" s="144">
        <v>4.6104293843766166</v>
      </c>
      <c r="L10" s="144">
        <v>4.6387383660806618</v>
      </c>
      <c r="M10" s="144">
        <v>4.8883599999999996</v>
      </c>
      <c r="N10" s="144">
        <v>4.9005000000000001</v>
      </c>
      <c r="O10" s="144">
        <f t="shared" si="0"/>
        <v>4.7613692735785582</v>
      </c>
    </row>
    <row r="11" spans="1:15" ht="13.9">
      <c r="A11" s="68">
        <v>8</v>
      </c>
      <c r="B11" s="10" t="s">
        <v>103</v>
      </c>
      <c r="C11" s="144">
        <v>4.5327687700092945</v>
      </c>
      <c r="D11" s="144">
        <v>4.057407788996497</v>
      </c>
      <c r="E11" s="144">
        <v>4.1932894195142039</v>
      </c>
      <c r="F11" s="144">
        <v>4.439801918910554</v>
      </c>
      <c r="G11" s="144">
        <v>4.6187002789544369</v>
      </c>
      <c r="H11" s="144">
        <v>5.5478504091992118</v>
      </c>
      <c r="I11" s="144">
        <v>5.6079189496536745</v>
      </c>
      <c r="J11" s="144">
        <v>5.5273952716715051</v>
      </c>
      <c r="K11" s="144">
        <v>4.6669632695292291</v>
      </c>
      <c r="L11" s="144">
        <v>5.2978076525336091</v>
      </c>
      <c r="M11" s="144">
        <v>8.0706799999999994</v>
      </c>
      <c r="N11" s="144">
        <v>6.4957599999999998</v>
      </c>
      <c r="O11" s="144">
        <f t="shared" si="0"/>
        <v>5.2546953107476844</v>
      </c>
    </row>
    <row r="12" spans="1:15" ht="13.9">
      <c r="A12" s="68">
        <v>9</v>
      </c>
      <c r="B12" s="10" t="s">
        <v>104</v>
      </c>
      <c r="C12" s="144">
        <v>5.3144480016523801</v>
      </c>
      <c r="D12" s="144">
        <v>5.2325159695033996</v>
      </c>
      <c r="E12" s="144">
        <v>5.3194112803622886</v>
      </c>
      <c r="F12" s="144">
        <v>5.436830702568864</v>
      </c>
      <c r="G12" s="144">
        <v>5.9533836140097121</v>
      </c>
      <c r="H12" s="144">
        <v>6.6255464622397184</v>
      </c>
      <c r="I12" s="144">
        <v>7.5745477101209548</v>
      </c>
      <c r="J12" s="144">
        <v>10.287183741186229</v>
      </c>
      <c r="K12" s="144">
        <v>11.663404035178479</v>
      </c>
      <c r="L12" s="144">
        <v>10.603123061013445</v>
      </c>
      <c r="M12" s="144">
        <v>8.00718</v>
      </c>
      <c r="N12" s="144">
        <v>10.591619999999999</v>
      </c>
      <c r="O12" s="144">
        <f t="shared" si="0"/>
        <v>7.7174328814862889</v>
      </c>
    </row>
    <row r="13" spans="1:15" ht="13.9">
      <c r="A13" s="68">
        <v>10</v>
      </c>
      <c r="B13" s="10" t="s">
        <v>105</v>
      </c>
      <c r="C13" s="144">
        <v>12.142104719611691</v>
      </c>
      <c r="D13" s="144">
        <v>11.783226869977334</v>
      </c>
      <c r="E13" s="144">
        <v>10.656648826677646</v>
      </c>
      <c r="F13" s="144">
        <v>11.960383782110801</v>
      </c>
      <c r="G13" s="144">
        <v>14.297758032854635</v>
      </c>
      <c r="H13" s="144">
        <v>15.460064228737179</v>
      </c>
      <c r="I13" s="144">
        <v>16.48009924532203</v>
      </c>
      <c r="J13" s="144">
        <v>17.532559104106177</v>
      </c>
      <c r="K13" s="144">
        <v>14.263010863942061</v>
      </c>
      <c r="L13" s="144">
        <v>13.696794208893484</v>
      </c>
      <c r="M13" s="144">
        <v>11.40976</v>
      </c>
      <c r="N13" s="144">
        <v>13.4664</v>
      </c>
      <c r="O13" s="144">
        <f t="shared" si="0"/>
        <v>13.595734156852755</v>
      </c>
    </row>
    <row r="14" spans="1:15" ht="13.9">
      <c r="A14" s="68">
        <v>11</v>
      </c>
      <c r="B14" s="10" t="s">
        <v>106</v>
      </c>
      <c r="C14" s="144">
        <v>7.6592998037798203</v>
      </c>
      <c r="D14" s="144">
        <v>6.5028642077065726</v>
      </c>
      <c r="E14" s="144">
        <v>6.5940304652120219</v>
      </c>
      <c r="F14" s="144">
        <v>7.6603528319405747</v>
      </c>
      <c r="G14" s="144">
        <v>9.3065399318111375</v>
      </c>
      <c r="H14" s="144">
        <v>11.055153838185021</v>
      </c>
      <c r="I14" s="144">
        <v>11.020862193735137</v>
      </c>
      <c r="J14" s="144">
        <v>10.145790128577353</v>
      </c>
      <c r="K14" s="144">
        <v>7.4707915157785827</v>
      </c>
      <c r="L14" s="144">
        <v>7.5459358841778688</v>
      </c>
      <c r="M14" s="144">
        <v>4.4095199999999997</v>
      </c>
      <c r="N14" s="144">
        <v>7.8853600000000004</v>
      </c>
      <c r="O14" s="144">
        <f t="shared" si="0"/>
        <v>8.1047084000753422</v>
      </c>
    </row>
    <row r="15" spans="1:15" ht="13.9">
      <c r="A15" s="68">
        <v>12</v>
      </c>
      <c r="B15" s="10" t="s">
        <v>107</v>
      </c>
      <c r="C15" s="144">
        <v>6.499617887018486</v>
      </c>
      <c r="D15" s="144">
        <v>4.0146301256954455</v>
      </c>
      <c r="E15" s="144">
        <v>4.0386167146974064</v>
      </c>
      <c r="F15" s="144">
        <v>4.6160321881770354</v>
      </c>
      <c r="G15" s="144">
        <v>5.4577745634879635</v>
      </c>
      <c r="H15" s="144">
        <v>6.7290997617321038</v>
      </c>
      <c r="I15" s="144">
        <v>6.7864364726558453</v>
      </c>
      <c r="J15" s="144">
        <v>6.1101617586063872</v>
      </c>
      <c r="K15" s="144">
        <v>5.0290946714950859</v>
      </c>
      <c r="L15" s="144">
        <v>5.1818407445708381</v>
      </c>
      <c r="M15" s="144">
        <v>5.2725200000000001</v>
      </c>
      <c r="N15" s="144">
        <v>5.4996600000000004</v>
      </c>
      <c r="O15" s="144">
        <f t="shared" si="0"/>
        <v>5.4362904073447176</v>
      </c>
    </row>
    <row r="16" spans="1:15" ht="13.9">
      <c r="A16" s="68">
        <v>13</v>
      </c>
      <c r="B16" s="10" t="s">
        <v>108</v>
      </c>
      <c r="C16" s="144">
        <v>0.87369616854280685</v>
      </c>
      <c r="D16" s="144">
        <v>0.89841335256542343</v>
      </c>
      <c r="E16" s="144">
        <v>0.82132564841498557</v>
      </c>
      <c r="F16" s="144">
        <v>0.92437841741462923</v>
      </c>
      <c r="G16" s="144">
        <v>1.0786238247752866</v>
      </c>
      <c r="H16" s="144">
        <v>1.1105355847922924</v>
      </c>
      <c r="I16" s="144">
        <v>0.91595161790551016</v>
      </c>
      <c r="J16" s="144">
        <v>1.0929075072583991</v>
      </c>
      <c r="K16" s="144">
        <v>1.0346611484738748</v>
      </c>
      <c r="L16" s="144">
        <v>1.1106514994829368</v>
      </c>
      <c r="M16" s="144">
        <v>7.0656000000000008</v>
      </c>
      <c r="N16" s="144">
        <v>1.37</v>
      </c>
      <c r="O16" s="144">
        <f t="shared" si="0"/>
        <v>1.5247287308021791</v>
      </c>
    </row>
    <row r="17" spans="1:15" ht="13.9">
      <c r="A17" s="68">
        <v>14</v>
      </c>
      <c r="B17" s="10" t="s">
        <v>109</v>
      </c>
      <c r="C17" s="144">
        <v>0.54687596819167617</v>
      </c>
      <c r="D17" s="144">
        <v>0.53119719760972595</v>
      </c>
      <c r="E17" s="144">
        <v>0.5089954713874022</v>
      </c>
      <c r="F17" s="144">
        <v>0.54505313112555442</v>
      </c>
      <c r="G17" s="144">
        <v>0.66992457898543245</v>
      </c>
      <c r="H17" s="144">
        <v>0.70100486895265712</v>
      </c>
      <c r="I17" s="144">
        <v>0.69211206450945939</v>
      </c>
      <c r="J17" s="144">
        <v>0.67523849025300708</v>
      </c>
      <c r="K17" s="144">
        <v>0.55559234350750131</v>
      </c>
      <c r="L17" s="144">
        <v>0.56194415718717683</v>
      </c>
      <c r="M17" s="144">
        <v>0.69690000000000007</v>
      </c>
      <c r="N17" s="144">
        <v>0.57504</v>
      </c>
      <c r="O17" s="144">
        <f>AVERAGE(C17:N17)</f>
        <v>0.60498985597579935</v>
      </c>
    </row>
    <row r="18" spans="1:15" ht="13.9">
      <c r="A18" s="68">
        <v>15</v>
      </c>
      <c r="B18" s="10" t="s">
        <v>110</v>
      </c>
      <c r="C18" s="144">
        <v>29.495714138180315</v>
      </c>
      <c r="D18" s="144">
        <v>24.051390892231609</v>
      </c>
      <c r="E18" s="144">
        <v>25.040654590366408</v>
      </c>
      <c r="F18" s="144">
        <v>26.669183947178375</v>
      </c>
      <c r="G18" s="144">
        <v>29.390432895960327</v>
      </c>
      <c r="H18" s="144">
        <v>28.527048585931837</v>
      </c>
      <c r="I18" s="144">
        <v>31.857458906233845</v>
      </c>
      <c r="J18" s="144">
        <v>32.383616756532561</v>
      </c>
      <c r="K18" s="144">
        <v>23.127263321262287</v>
      </c>
      <c r="L18" s="144">
        <v>25.001820062047571</v>
      </c>
      <c r="M18" s="144">
        <v>31.282920000000001</v>
      </c>
      <c r="N18" s="144">
        <v>26.906660000000002</v>
      </c>
      <c r="O18" s="144">
        <f t="shared" si="0"/>
        <v>27.811180341327091</v>
      </c>
    </row>
    <row r="19" spans="1:15" ht="13.9">
      <c r="A19" s="68">
        <v>16</v>
      </c>
      <c r="B19" s="65" t="s">
        <v>111</v>
      </c>
      <c r="C19" s="144" t="s">
        <v>124</v>
      </c>
      <c r="D19" s="144" t="s">
        <v>124</v>
      </c>
      <c r="E19" s="144" t="s">
        <v>124</v>
      </c>
      <c r="F19" s="144" t="s">
        <v>124</v>
      </c>
      <c r="G19" s="144" t="s">
        <v>124</v>
      </c>
      <c r="H19" s="144" t="s">
        <v>124</v>
      </c>
      <c r="I19" s="144" t="s">
        <v>124</v>
      </c>
      <c r="J19" s="144" t="s">
        <v>124</v>
      </c>
      <c r="K19" s="144">
        <v>15.053243662700464</v>
      </c>
      <c r="L19" s="144">
        <v>15.13960703205791</v>
      </c>
      <c r="M19" s="144">
        <v>15.56</v>
      </c>
      <c r="N19" s="144">
        <v>14.919999999999998</v>
      </c>
      <c r="O19" s="144">
        <f>AVERAGE(K19:N19)</f>
        <v>15.168212673689592</v>
      </c>
    </row>
    <row r="20" spans="1:15" ht="13.9">
      <c r="A20" s="68">
        <v>17</v>
      </c>
      <c r="B20" s="65" t="s">
        <v>112</v>
      </c>
      <c r="C20" s="144" t="s">
        <v>124</v>
      </c>
      <c r="D20" s="144" t="s">
        <v>124</v>
      </c>
      <c r="E20" s="144" t="s">
        <v>124</v>
      </c>
      <c r="F20" s="144" t="s">
        <v>124</v>
      </c>
      <c r="G20" s="144" t="s">
        <v>124</v>
      </c>
      <c r="H20" s="144" t="s">
        <v>124</v>
      </c>
      <c r="I20" s="144" t="s">
        <v>124</v>
      </c>
      <c r="J20" s="144" t="s">
        <v>124</v>
      </c>
      <c r="K20" s="144">
        <v>10.677703052250388</v>
      </c>
      <c r="L20" s="144">
        <v>10.568769389865563</v>
      </c>
      <c r="M20" s="144">
        <v>10.68</v>
      </c>
      <c r="N20" s="144">
        <v>10.56</v>
      </c>
      <c r="O20" s="144">
        <f>AVERAGE(K20:N20)</f>
        <v>10.621618110528988</v>
      </c>
    </row>
    <row r="21" spans="1:15" ht="13.9">
      <c r="A21" s="68">
        <v>18</v>
      </c>
      <c r="B21" s="65" t="s">
        <v>167</v>
      </c>
      <c r="C21" s="144" t="s">
        <v>124</v>
      </c>
      <c r="D21" s="144" t="s">
        <v>124</v>
      </c>
      <c r="E21" s="144" t="s">
        <v>124</v>
      </c>
      <c r="F21" s="144" t="s">
        <v>124</v>
      </c>
      <c r="G21" s="144" t="s">
        <v>124</v>
      </c>
      <c r="H21" s="144" t="s">
        <v>124</v>
      </c>
      <c r="I21" s="144" t="s">
        <v>124</v>
      </c>
      <c r="J21" s="144" t="s">
        <v>124</v>
      </c>
      <c r="K21" s="144" t="s">
        <v>124</v>
      </c>
      <c r="L21" s="144" t="s">
        <v>124</v>
      </c>
      <c r="M21" s="144" t="s">
        <v>124</v>
      </c>
      <c r="N21" s="144" t="s">
        <v>124</v>
      </c>
      <c r="O21" s="144">
        <v>20</v>
      </c>
    </row>
    <row r="22" spans="1:15" ht="13.9">
      <c r="A22" s="68">
        <v>19</v>
      </c>
      <c r="B22" s="65" t="s">
        <v>168</v>
      </c>
      <c r="C22" s="144" t="s">
        <v>124</v>
      </c>
      <c r="D22" s="144" t="s">
        <v>124</v>
      </c>
      <c r="E22" s="144" t="s">
        <v>124</v>
      </c>
      <c r="F22" s="144" t="s">
        <v>124</v>
      </c>
      <c r="G22" s="144" t="s">
        <v>124</v>
      </c>
      <c r="H22" s="144" t="s">
        <v>124</v>
      </c>
      <c r="I22" s="144" t="s">
        <v>124</v>
      </c>
      <c r="J22" s="144" t="s">
        <v>124</v>
      </c>
      <c r="K22" s="144" t="s">
        <v>124</v>
      </c>
      <c r="L22" s="144" t="s">
        <v>124</v>
      </c>
      <c r="M22" s="144" t="s">
        <v>124</v>
      </c>
      <c r="N22" s="144" t="s">
        <v>124</v>
      </c>
      <c r="O22" s="144">
        <v>20</v>
      </c>
    </row>
    <row r="23" spans="1:15" ht="13.9">
      <c r="A23" s="68"/>
      <c r="B23" s="80" t="s">
        <v>191</v>
      </c>
      <c r="C23" s="145">
        <f t="shared" ref="C23:O23" si="1">SUM(C4:C22)</f>
        <v>27632.486584736136</v>
      </c>
      <c r="D23" s="145">
        <f t="shared" si="1"/>
        <v>26686.735277148153</v>
      </c>
      <c r="E23" s="145">
        <f t="shared" si="1"/>
        <v>27329.77268423219</v>
      </c>
      <c r="F23" s="145">
        <f t="shared" si="1"/>
        <v>27674.812132466726</v>
      </c>
      <c r="G23" s="145">
        <f t="shared" si="1"/>
        <v>27873.430375038752</v>
      </c>
      <c r="H23" s="145">
        <f t="shared" si="1"/>
        <v>28184.146006422867</v>
      </c>
      <c r="I23" s="145">
        <f t="shared" si="1"/>
        <v>28053.319693993588</v>
      </c>
      <c r="J23" s="145">
        <f t="shared" si="1"/>
        <v>27883.836623807547</v>
      </c>
      <c r="K23" s="145">
        <f t="shared" si="1"/>
        <v>24537.567470253493</v>
      </c>
      <c r="L23" s="145">
        <f t="shared" si="1"/>
        <v>24548.42494312306</v>
      </c>
      <c r="M23" s="145">
        <f t="shared" si="1"/>
        <v>24082.43244</v>
      </c>
      <c r="N23" s="145">
        <f t="shared" si="1"/>
        <v>25076.677</v>
      </c>
      <c r="O23" s="145">
        <f t="shared" si="1"/>
        <v>26687.496656458025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2F4CC-5A43-4897-8873-536559C6C257}">
  <dimension ref="B3:BU92"/>
  <sheetViews>
    <sheetView topLeftCell="B1" zoomScale="74" workbookViewId="0">
      <pane xSplit="2" ySplit="4" topLeftCell="D5" activePane="bottomRight" state="frozen"/>
      <selection pane="bottomRight" activeCell="I9" sqref="I9"/>
      <selection pane="bottomLeft" activeCell="Q4" sqref="Q4"/>
      <selection pane="topRight" activeCell="Q4" sqref="Q4"/>
    </sheetView>
  </sheetViews>
  <sheetFormatPr defaultColWidth="8.85546875" defaultRowHeight="13.15"/>
  <cols>
    <col min="1" max="1" width="11.28515625" style="148" customWidth="1"/>
    <col min="2" max="2" width="8.85546875" style="148"/>
    <col min="3" max="3" width="49" style="148" customWidth="1"/>
    <col min="4" max="27" width="14.85546875" style="148" customWidth="1"/>
    <col min="28" max="79" width="12.28515625" style="148" customWidth="1"/>
    <col min="80" max="16384" width="8.85546875" style="148"/>
  </cols>
  <sheetData>
    <row r="3" spans="2:59" ht="13.9">
      <c r="B3" s="147" t="s">
        <v>351</v>
      </c>
    </row>
    <row r="4" spans="2:59" ht="13.9">
      <c r="B4" s="149" t="s">
        <v>2</v>
      </c>
      <c r="C4" s="149" t="s">
        <v>82</v>
      </c>
      <c r="D4" s="150" t="s">
        <v>352</v>
      </c>
      <c r="E4" s="150" t="s">
        <v>353</v>
      </c>
      <c r="F4" s="150" t="s">
        <v>354</v>
      </c>
      <c r="G4" s="150" t="s">
        <v>355</v>
      </c>
      <c r="H4" s="150" t="s">
        <v>356</v>
      </c>
      <c r="I4" s="150" t="s">
        <v>357</v>
      </c>
      <c r="J4" s="150" t="s">
        <v>358</v>
      </c>
      <c r="K4" s="150" t="s">
        <v>359</v>
      </c>
      <c r="L4" s="150" t="s">
        <v>360</v>
      </c>
      <c r="M4" s="150" t="s">
        <v>361</v>
      </c>
      <c r="N4" s="150" t="s">
        <v>362</v>
      </c>
      <c r="O4" s="150" t="s">
        <v>363</v>
      </c>
      <c r="P4" s="150" t="s">
        <v>364</v>
      </c>
      <c r="Q4" s="150" t="s">
        <v>365</v>
      </c>
      <c r="R4" s="150" t="s">
        <v>366</v>
      </c>
      <c r="S4" s="150" t="s">
        <v>367</v>
      </c>
      <c r="T4" s="150" t="s">
        <v>368</v>
      </c>
      <c r="U4" s="150" t="s">
        <v>369</v>
      </c>
      <c r="V4" s="150" t="s">
        <v>370</v>
      </c>
      <c r="W4" s="150" t="s">
        <v>371</v>
      </c>
      <c r="X4" s="150" t="s">
        <v>372</v>
      </c>
      <c r="Y4" s="150" t="s">
        <v>373</v>
      </c>
      <c r="Z4" s="150" t="s">
        <v>374</v>
      </c>
      <c r="AA4" s="150" t="s">
        <v>375</v>
      </c>
      <c r="AB4" s="150" t="s">
        <v>376</v>
      </c>
      <c r="AC4" s="150" t="s">
        <v>377</v>
      </c>
      <c r="AD4" s="150" t="s">
        <v>378</v>
      </c>
      <c r="AE4" s="150" t="s">
        <v>379</v>
      </c>
      <c r="AF4" s="150" t="s">
        <v>380</v>
      </c>
      <c r="AG4" s="150" t="s">
        <v>381</v>
      </c>
      <c r="AH4" s="150" t="s">
        <v>382</v>
      </c>
      <c r="AI4" s="150" t="s">
        <v>383</v>
      </c>
      <c r="AJ4" s="150" t="s">
        <v>384</v>
      </c>
      <c r="AK4" s="150" t="s">
        <v>385</v>
      </c>
      <c r="AL4" s="150" t="s">
        <v>386</v>
      </c>
      <c r="AM4" s="150" t="s">
        <v>387</v>
      </c>
      <c r="AN4" s="150" t="s">
        <v>388</v>
      </c>
      <c r="AO4" s="150" t="s">
        <v>389</v>
      </c>
      <c r="AP4" s="150" t="s">
        <v>390</v>
      </c>
      <c r="AQ4" s="150" t="s">
        <v>391</v>
      </c>
      <c r="AR4" s="150" t="s">
        <v>392</v>
      </c>
      <c r="AS4" s="150" t="s">
        <v>393</v>
      </c>
      <c r="AT4" s="150" t="s">
        <v>394</v>
      </c>
      <c r="AU4" s="150" t="s">
        <v>338</v>
      </c>
      <c r="AV4" s="150" t="s">
        <v>339</v>
      </c>
      <c r="AW4" s="150" t="s">
        <v>340</v>
      </c>
      <c r="AX4" s="150" t="s">
        <v>341</v>
      </c>
      <c r="AY4" s="150" t="s">
        <v>342</v>
      </c>
      <c r="AZ4" s="151" t="s">
        <v>343</v>
      </c>
      <c r="BA4" s="151" t="s">
        <v>344</v>
      </c>
      <c r="BB4" s="151" t="s">
        <v>345</v>
      </c>
      <c r="BC4" s="151" t="s">
        <v>346</v>
      </c>
      <c r="BD4" s="151" t="s">
        <v>347</v>
      </c>
      <c r="BE4" s="151" t="s">
        <v>348</v>
      </c>
      <c r="BF4" s="151" t="s">
        <v>349</v>
      </c>
      <c r="BG4" s="37"/>
    </row>
    <row r="5" spans="2:59" ht="13.9">
      <c r="B5" s="61">
        <v>1</v>
      </c>
      <c r="C5" s="10" t="s">
        <v>96</v>
      </c>
      <c r="D5" s="152">
        <v>15904.49</v>
      </c>
      <c r="E5" s="152">
        <v>18061.72</v>
      </c>
      <c r="F5" s="152">
        <v>16146.15</v>
      </c>
      <c r="G5" s="152">
        <v>14643.49</v>
      </c>
      <c r="H5" s="153">
        <v>15047</v>
      </c>
      <c r="I5" s="152">
        <v>16007.970000000001</v>
      </c>
      <c r="J5" s="152">
        <v>16701.89</v>
      </c>
      <c r="K5" s="152">
        <v>18754.45</v>
      </c>
      <c r="L5" s="152">
        <v>19656.949999999997</v>
      </c>
      <c r="M5" s="152">
        <v>20141.654999999999</v>
      </c>
      <c r="N5" s="152">
        <v>19880.21</v>
      </c>
      <c r="O5" s="152">
        <v>21165.919999999995</v>
      </c>
      <c r="P5" s="152">
        <v>21464.2075</v>
      </c>
      <c r="Q5" s="152">
        <v>19320.980000000003</v>
      </c>
      <c r="R5" s="152">
        <v>16969.547499999997</v>
      </c>
      <c r="S5" s="152">
        <v>19588.18</v>
      </c>
      <c r="T5" s="153">
        <v>19813.572499999998</v>
      </c>
      <c r="U5" s="152">
        <v>17590.52</v>
      </c>
      <c r="V5" s="152">
        <v>18365.025499999996</v>
      </c>
      <c r="W5" s="152">
        <v>20445.297500000001</v>
      </c>
      <c r="X5" s="152">
        <v>20775.814999999999</v>
      </c>
      <c r="Y5" s="152">
        <v>21932.4575</v>
      </c>
      <c r="Z5" s="152">
        <v>22554.22</v>
      </c>
      <c r="AA5" s="152">
        <v>23618.050000000003</v>
      </c>
      <c r="AB5" s="152">
        <v>23274.746249999997</v>
      </c>
      <c r="AC5" s="152">
        <v>23327.36375</v>
      </c>
      <c r="AD5" s="152">
        <v>22118</v>
      </c>
      <c r="AE5" s="152">
        <v>18612.501250000001</v>
      </c>
      <c r="AF5" s="153">
        <v>20164.962500000001</v>
      </c>
      <c r="AG5" s="152">
        <v>18416.77</v>
      </c>
      <c r="AH5" s="152">
        <v>18513.420000000002</v>
      </c>
      <c r="AI5" s="152">
        <v>22349.061835449571</v>
      </c>
      <c r="AJ5" s="152">
        <v>22985.691380200267</v>
      </c>
      <c r="AK5" s="152">
        <v>23483.031090008255</v>
      </c>
      <c r="AL5" s="152">
        <v>23548.651755203478</v>
      </c>
      <c r="AM5" s="152">
        <v>23759.791712307531</v>
      </c>
      <c r="AN5" s="144">
        <v>23777.580184858241</v>
      </c>
      <c r="AO5" s="144">
        <v>23114.838614682703</v>
      </c>
      <c r="AP5" s="144">
        <v>23619.035990888384</v>
      </c>
      <c r="AQ5" s="144">
        <v>20118.764489458452</v>
      </c>
      <c r="AR5" s="144">
        <v>22602.359661087001</v>
      </c>
      <c r="AS5" s="144">
        <v>22816.750661703885</v>
      </c>
      <c r="AT5" s="144">
        <v>23750.009743961851</v>
      </c>
      <c r="AU5" s="144">
        <v>23744.482949499121</v>
      </c>
      <c r="AV5" s="144">
        <v>23213.338223779105</v>
      </c>
      <c r="AW5" s="144">
        <v>23925.065047344586</v>
      </c>
      <c r="AX5" s="144">
        <v>24117.371051274113</v>
      </c>
      <c r="AY5" s="144">
        <v>23955.496518235355</v>
      </c>
      <c r="AZ5" s="119">
        <v>23828.224759142235</v>
      </c>
      <c r="BA5" s="119">
        <v>23609.251814328542</v>
      </c>
      <c r="BB5" s="119">
        <v>23112.126503525509</v>
      </c>
      <c r="BC5" s="119">
        <v>20533.157620279359</v>
      </c>
      <c r="BD5" s="119">
        <v>20569.173071354708</v>
      </c>
      <c r="BE5" s="119">
        <v>20104.804599999999</v>
      </c>
      <c r="BF5" s="119">
        <v>20904.417119999998</v>
      </c>
      <c r="BG5" s="248"/>
    </row>
    <row r="6" spans="2:59" ht="13.9">
      <c r="B6" s="61">
        <v>2</v>
      </c>
      <c r="C6" s="10" t="s">
        <v>97</v>
      </c>
      <c r="D6" s="152">
        <v>551.93263730036062</v>
      </c>
      <c r="E6" s="152">
        <v>655.72566595194064</v>
      </c>
      <c r="F6" s="152">
        <v>652.95301929232983</v>
      </c>
      <c r="G6" s="152">
        <v>619.66458735140122</v>
      </c>
      <c r="H6" s="152">
        <v>597.41008260787726</v>
      </c>
      <c r="I6" s="152">
        <v>627.9460532961923</v>
      </c>
      <c r="J6" s="152">
        <v>715.03178174061679</v>
      </c>
      <c r="K6" s="152">
        <v>698.08692586723669</v>
      </c>
      <c r="L6" s="152">
        <v>652.654150237463</v>
      </c>
      <c r="M6" s="152">
        <v>592.98551639757227</v>
      </c>
      <c r="N6" s="152">
        <v>654.45623302827232</v>
      </c>
      <c r="O6" s="152">
        <v>705.93968671143</v>
      </c>
      <c r="P6" s="152">
        <v>665.38263217627389</v>
      </c>
      <c r="Q6" s="152">
        <v>690.25295622648673</v>
      </c>
      <c r="R6" s="152">
        <v>687.9880641450178</v>
      </c>
      <c r="S6" s="152">
        <v>724.12134013212858</v>
      </c>
      <c r="T6" s="152">
        <v>714.36207371345415</v>
      </c>
      <c r="U6" s="152">
        <v>731.48775261527283</v>
      </c>
      <c r="V6" s="152">
        <v>843.46261856773503</v>
      </c>
      <c r="W6" s="152">
        <v>810.79280492388887</v>
      </c>
      <c r="X6" s="152">
        <v>650.149440378397</v>
      </c>
      <c r="Y6" s="152">
        <v>620.09317822653315</v>
      </c>
      <c r="Z6" s="152">
        <v>720.7291530850739</v>
      </c>
      <c r="AA6" s="152">
        <v>845.20772105654248</v>
      </c>
      <c r="AB6" s="152">
        <v>967.31268702657326</v>
      </c>
      <c r="AC6" s="152">
        <v>934.83553669189337</v>
      </c>
      <c r="AD6" s="152">
        <v>947.75757165109565</v>
      </c>
      <c r="AE6" s="152">
        <v>811.23657038128601</v>
      </c>
      <c r="AF6" s="152">
        <v>817.01914687865167</v>
      </c>
      <c r="AG6" s="152">
        <v>790.95585676571056</v>
      </c>
      <c r="AH6" s="152">
        <v>803.60685790668856</v>
      </c>
      <c r="AI6" s="152">
        <v>750.14232842691979</v>
      </c>
      <c r="AJ6" s="152">
        <v>696.72150304531851</v>
      </c>
      <c r="AK6" s="152">
        <v>691.6195293146161</v>
      </c>
      <c r="AL6" s="152">
        <v>791.85163094128609</v>
      </c>
      <c r="AM6" s="152">
        <v>749.81465330164303</v>
      </c>
      <c r="AN6" s="144">
        <v>1001.058344584069</v>
      </c>
      <c r="AO6" s="144">
        <v>980.55217751970144</v>
      </c>
      <c r="AP6" s="144">
        <v>958.56164837440463</v>
      </c>
      <c r="AQ6" s="144">
        <v>856.30463001240173</v>
      </c>
      <c r="AR6" s="144">
        <v>795.26943583384991</v>
      </c>
      <c r="AS6" s="144">
        <v>843.86881720430119</v>
      </c>
      <c r="AT6" s="144">
        <v>925.45906499429873</v>
      </c>
      <c r="AU6" s="144">
        <v>847.58632655168856</v>
      </c>
      <c r="AV6" s="144">
        <v>772.80506902946627</v>
      </c>
      <c r="AW6" s="144">
        <v>732.11082750102923</v>
      </c>
      <c r="AX6" s="144">
        <v>800.67607551841536</v>
      </c>
      <c r="AY6" s="144">
        <v>891.5068085546028</v>
      </c>
      <c r="AZ6" s="119">
        <v>1007.7424220449601</v>
      </c>
      <c r="BA6" s="119">
        <v>957.45944381267441</v>
      </c>
      <c r="BB6" s="119">
        <v>1042.5326835338033</v>
      </c>
      <c r="BC6" s="119">
        <v>857.41781686497666</v>
      </c>
      <c r="BD6" s="119">
        <v>835.49178903826271</v>
      </c>
      <c r="BE6" s="119">
        <v>912.81503999999995</v>
      </c>
      <c r="BF6" s="119">
        <v>886.86527999999998</v>
      </c>
      <c r="BG6" s="248"/>
    </row>
    <row r="7" spans="2:59" ht="13.9">
      <c r="B7" s="61">
        <v>3</v>
      </c>
      <c r="C7" s="10" t="s">
        <v>98</v>
      </c>
      <c r="D7" s="154">
        <v>953.39515713549713</v>
      </c>
      <c r="E7" s="154">
        <v>1093.9952621279224</v>
      </c>
      <c r="F7" s="154">
        <v>1054.0209898137668</v>
      </c>
      <c r="G7" s="154">
        <v>985.22145719864363</v>
      </c>
      <c r="H7" s="154">
        <v>991.78166838311017</v>
      </c>
      <c r="I7" s="154">
        <v>1170.6560922855083</v>
      </c>
      <c r="J7" s="154">
        <v>1285.324126558796</v>
      </c>
      <c r="K7" s="154">
        <v>1224.7909371781668</v>
      </c>
      <c r="L7" s="154">
        <v>1180.773185276578</v>
      </c>
      <c r="M7" s="154">
        <v>1218.4639175257732</v>
      </c>
      <c r="N7" s="154">
        <v>1281.6427613249407</v>
      </c>
      <c r="O7" s="154">
        <v>1377.7881136950905</v>
      </c>
      <c r="P7" s="154">
        <v>1297.0667217517041</v>
      </c>
      <c r="Q7" s="154">
        <v>1293.8227118295069</v>
      </c>
      <c r="R7" s="154">
        <v>1296.3506668045075</v>
      </c>
      <c r="S7" s="154">
        <v>1390.6974337748345</v>
      </c>
      <c r="T7" s="154">
        <v>1342.6708074534163</v>
      </c>
      <c r="U7" s="154">
        <v>1355.6967255448817</v>
      </c>
      <c r="V7" s="154">
        <v>1285.9104046242774</v>
      </c>
      <c r="W7" s="154">
        <v>1398.8962672716023</v>
      </c>
      <c r="X7" s="154">
        <v>1170.0639175257731</v>
      </c>
      <c r="Y7" s="154">
        <v>1112.5830075246911</v>
      </c>
      <c r="Z7" s="154">
        <v>1217.5392295022675</v>
      </c>
      <c r="AA7" s="154">
        <v>1410.0404081458989</v>
      </c>
      <c r="AB7" s="154">
        <v>1828.4322148951728</v>
      </c>
      <c r="AC7" s="154">
        <v>1625.9601137737577</v>
      </c>
      <c r="AD7" s="154">
        <v>1716.4980977474993</v>
      </c>
      <c r="AE7" s="154">
        <v>1336.1341356655148</v>
      </c>
      <c r="AF7" s="154">
        <v>1440.8496940822099</v>
      </c>
      <c r="AG7" s="154">
        <v>1467.1549849880939</v>
      </c>
      <c r="AH7" s="154">
        <v>1490.338563170933</v>
      </c>
      <c r="AI7" s="154">
        <v>1366.2727085053675</v>
      </c>
      <c r="AJ7" s="154">
        <v>1211.2968308041704</v>
      </c>
      <c r="AK7" s="154">
        <v>1237.7917836498762</v>
      </c>
      <c r="AL7" s="154">
        <v>1432.4065444755101</v>
      </c>
      <c r="AM7" s="154">
        <v>1435.2999896662191</v>
      </c>
      <c r="AN7" s="144">
        <v>1750.7948073527884</v>
      </c>
      <c r="AO7" s="144">
        <v>1681.2703027789298</v>
      </c>
      <c r="AP7" s="144">
        <v>1743.5421412300684</v>
      </c>
      <c r="AQ7" s="144">
        <v>1518.8953699875983</v>
      </c>
      <c r="AR7" s="144">
        <v>1524.7526348419096</v>
      </c>
      <c r="AS7" s="144">
        <v>1651.6774607113318</v>
      </c>
      <c r="AT7" s="144">
        <v>1648.781755986317</v>
      </c>
      <c r="AU7" s="144">
        <v>1537.3907260146648</v>
      </c>
      <c r="AV7" s="144">
        <v>1327.3545847929115</v>
      </c>
      <c r="AW7" s="144">
        <v>1264.6793330588719</v>
      </c>
      <c r="AX7" s="144">
        <v>1392.7653770762406</v>
      </c>
      <c r="AY7" s="144">
        <v>1621.1043702861866</v>
      </c>
      <c r="AZ7" s="119">
        <v>1779.3012327773747</v>
      </c>
      <c r="BA7" s="119">
        <v>1713.5089424170371</v>
      </c>
      <c r="BB7" s="119">
        <v>1953.6382413936126</v>
      </c>
      <c r="BC7" s="119">
        <v>1561.3480393171235</v>
      </c>
      <c r="BD7" s="119">
        <v>1506.2764012409514</v>
      </c>
      <c r="BE7" s="119">
        <v>1584.5369599999999</v>
      </c>
      <c r="BF7" s="119">
        <v>1743.42452</v>
      </c>
      <c r="BG7" s="248"/>
    </row>
    <row r="8" spans="2:59" ht="13.9">
      <c r="B8" s="61">
        <v>4</v>
      </c>
      <c r="C8" s="10" t="s">
        <v>99</v>
      </c>
      <c r="D8" s="152">
        <v>488.97588459556925</v>
      </c>
      <c r="E8" s="155">
        <v>545.24482850963022</v>
      </c>
      <c r="F8" s="155">
        <v>570.39892993106287</v>
      </c>
      <c r="G8" s="155">
        <v>536.95498509916763</v>
      </c>
      <c r="H8" s="155">
        <v>538.60812770339851</v>
      </c>
      <c r="I8" s="155">
        <v>571.62026985271405</v>
      </c>
      <c r="J8" s="155">
        <v>678.63860249407389</v>
      </c>
      <c r="K8" s="155">
        <v>649.71990937178168</v>
      </c>
      <c r="L8" s="155">
        <v>629.51330043183214</v>
      </c>
      <c r="M8" s="155">
        <v>610.67326597938143</v>
      </c>
      <c r="N8" s="155">
        <v>647.3395893096689</v>
      </c>
      <c r="O8" s="155">
        <v>701.72152971576224</v>
      </c>
      <c r="P8" s="152">
        <v>671.70634579632315</v>
      </c>
      <c r="Q8" s="155">
        <v>646.99968701739931</v>
      </c>
      <c r="R8" s="155">
        <v>692.97354698645711</v>
      </c>
      <c r="S8" s="155">
        <v>741.23237996688738</v>
      </c>
      <c r="T8" s="155">
        <v>702.16835196687373</v>
      </c>
      <c r="U8" s="155">
        <v>711.98045912612338</v>
      </c>
      <c r="V8" s="155">
        <v>701.96944500412883</v>
      </c>
      <c r="W8" s="155">
        <v>738.10143534749443</v>
      </c>
      <c r="X8" s="155">
        <v>596.5001154639175</v>
      </c>
      <c r="Y8" s="155">
        <v>552.96728587664018</v>
      </c>
      <c r="Z8" s="155">
        <v>632.69142502328464</v>
      </c>
      <c r="AA8" s="155">
        <v>769.25105617047689</v>
      </c>
      <c r="AB8" s="152">
        <v>910.08078715691352</v>
      </c>
      <c r="AC8" s="155">
        <v>857.22917744438689</v>
      </c>
      <c r="AD8" s="155">
        <v>890.07448789571697</v>
      </c>
      <c r="AE8" s="155">
        <v>695.3002692068751</v>
      </c>
      <c r="AF8" s="155">
        <v>724.75253675709257</v>
      </c>
      <c r="AG8" s="155">
        <v>675.62998239983438</v>
      </c>
      <c r="AH8" s="155">
        <v>760.73492981007428</v>
      </c>
      <c r="AI8" s="155">
        <v>697.77043765483074</v>
      </c>
      <c r="AJ8" s="155">
        <v>595.19673789614956</v>
      </c>
      <c r="AK8" s="155">
        <v>606.41226259289851</v>
      </c>
      <c r="AL8" s="155">
        <v>704.66679092885988</v>
      </c>
      <c r="AM8" s="155">
        <v>690.10040301746403</v>
      </c>
      <c r="AN8" s="144">
        <v>866.34757503375226</v>
      </c>
      <c r="AO8" s="144">
        <v>873.04292824554113</v>
      </c>
      <c r="AP8" s="144">
        <v>912.36082004555817</v>
      </c>
      <c r="AQ8" s="144">
        <v>742.88528317486555</v>
      </c>
      <c r="AR8" s="144">
        <v>754.84868774540189</v>
      </c>
      <c r="AS8" s="144">
        <v>812.62845326716297</v>
      </c>
      <c r="AT8" s="144">
        <v>832.73374105939672</v>
      </c>
      <c r="AU8" s="144">
        <v>785.78779303934732</v>
      </c>
      <c r="AV8" s="144">
        <v>650.97902328456621</v>
      </c>
      <c r="AW8" s="144">
        <v>614.20317002881848</v>
      </c>
      <c r="AX8" s="144">
        <v>675.59067368203864</v>
      </c>
      <c r="AY8" s="144">
        <v>800.68672383510693</v>
      </c>
      <c r="AZ8" s="119">
        <v>876.53094374805755</v>
      </c>
      <c r="BA8" s="119">
        <v>862.12058306626693</v>
      </c>
      <c r="BB8" s="119">
        <v>973.10526752384897</v>
      </c>
      <c r="BC8" s="119">
        <v>715.15099844800829</v>
      </c>
      <c r="BD8" s="119">
        <v>690.4385935884178</v>
      </c>
      <c r="BE8" s="119">
        <v>783.21896000000004</v>
      </c>
      <c r="BF8" s="119">
        <v>783.38987999999995</v>
      </c>
      <c r="BG8" s="248"/>
    </row>
    <row r="9" spans="2:59" ht="13.9">
      <c r="B9" s="61">
        <v>5</v>
      </c>
      <c r="C9" s="10" t="s">
        <v>100</v>
      </c>
      <c r="D9" s="119">
        <v>82</v>
      </c>
      <c r="E9" s="119">
        <v>146</v>
      </c>
      <c r="F9" s="119">
        <v>160</v>
      </c>
      <c r="G9" s="119">
        <v>152</v>
      </c>
      <c r="H9" s="119">
        <v>161</v>
      </c>
      <c r="I9" s="119">
        <v>161</v>
      </c>
      <c r="J9" s="119">
        <v>179</v>
      </c>
      <c r="K9" s="119">
        <v>272</v>
      </c>
      <c r="L9" s="119">
        <v>284</v>
      </c>
      <c r="M9" s="119">
        <v>286</v>
      </c>
      <c r="N9" s="119">
        <v>293</v>
      </c>
      <c r="O9" s="119">
        <v>322</v>
      </c>
      <c r="P9" s="119">
        <v>307</v>
      </c>
      <c r="Q9" s="119">
        <v>304</v>
      </c>
      <c r="R9" s="119">
        <v>283</v>
      </c>
      <c r="S9" s="119">
        <v>336</v>
      </c>
      <c r="T9" s="119">
        <v>353</v>
      </c>
      <c r="U9" s="119">
        <v>326</v>
      </c>
      <c r="V9" s="119">
        <v>360</v>
      </c>
      <c r="W9" s="119">
        <v>359</v>
      </c>
      <c r="X9" s="119">
        <v>354</v>
      </c>
      <c r="Y9" s="119">
        <v>340</v>
      </c>
      <c r="Z9" s="119">
        <v>351</v>
      </c>
      <c r="AA9" s="119">
        <v>382</v>
      </c>
      <c r="AB9" s="119">
        <v>372</v>
      </c>
      <c r="AC9" s="119">
        <v>383</v>
      </c>
      <c r="AD9" s="119">
        <v>391</v>
      </c>
      <c r="AE9" s="119">
        <v>393</v>
      </c>
      <c r="AF9" s="119">
        <v>413</v>
      </c>
      <c r="AG9" s="119">
        <v>390.19</v>
      </c>
      <c r="AH9" s="119">
        <v>420.85</v>
      </c>
      <c r="AI9" s="119">
        <v>367.03</v>
      </c>
      <c r="AJ9" s="119">
        <v>460.63557344895219</v>
      </c>
      <c r="AK9" s="119">
        <v>421.66230388109</v>
      </c>
      <c r="AL9" s="119">
        <v>485.9828103966035</v>
      </c>
      <c r="AM9" s="119">
        <v>454.41289655885089</v>
      </c>
      <c r="AN9" s="144">
        <v>444.51265967390174</v>
      </c>
      <c r="AO9" s="144">
        <v>432.61401907922021</v>
      </c>
      <c r="AP9" s="144">
        <v>415.3208945951543</v>
      </c>
      <c r="AQ9" s="144">
        <v>404.30541546093423</v>
      </c>
      <c r="AR9" s="144">
        <v>435.70766687332093</v>
      </c>
      <c r="AS9" s="144">
        <v>434.40661703887508</v>
      </c>
      <c r="AT9" s="144">
        <v>450.5517570229087</v>
      </c>
      <c r="AU9" s="144">
        <v>471.92027264277596</v>
      </c>
      <c r="AV9" s="144">
        <v>450.40605810838656</v>
      </c>
      <c r="AW9" s="144">
        <v>445.84116920543431</v>
      </c>
      <c r="AX9" s="144">
        <v>440.92772103579898</v>
      </c>
      <c r="AY9" s="144">
        <v>482.96890174604818</v>
      </c>
      <c r="AZ9" s="119">
        <v>492.67013363721122</v>
      </c>
      <c r="BA9" s="119">
        <v>474.0128605396464</v>
      </c>
      <c r="BB9" s="119">
        <v>482.34143508917458</v>
      </c>
      <c r="BC9" s="119">
        <v>488.874536989136</v>
      </c>
      <c r="BD9" s="119">
        <v>484.5250465356774</v>
      </c>
      <c r="BE9" s="119">
        <v>465.45643999999999</v>
      </c>
      <c r="BF9" s="119">
        <v>486.66016000000002</v>
      </c>
      <c r="BG9" s="248"/>
    </row>
    <row r="10" spans="2:59" ht="13.9">
      <c r="B10" s="61">
        <v>6</v>
      </c>
      <c r="C10" s="10" t="s">
        <v>101</v>
      </c>
      <c r="D10" s="119">
        <v>5.7290056671818643</v>
      </c>
      <c r="E10" s="119">
        <v>6.6742197960655067</v>
      </c>
      <c r="F10" s="119">
        <v>6.9677950406420415</v>
      </c>
      <c r="G10" s="119">
        <v>5.668482170383311</v>
      </c>
      <c r="H10" s="119">
        <v>5.9855818743563338</v>
      </c>
      <c r="I10" s="119">
        <v>5.283757338551859</v>
      </c>
      <c r="J10" s="119">
        <v>6.4763475213851383</v>
      </c>
      <c r="K10" s="119">
        <v>6.3316168898043257</v>
      </c>
      <c r="L10" s="119">
        <v>6.3253135924326545</v>
      </c>
      <c r="M10" s="119">
        <v>6.0247422680412379</v>
      </c>
      <c r="N10" s="119">
        <v>6.8145702197915599</v>
      </c>
      <c r="O10" s="119">
        <v>6.6914728682170539</v>
      </c>
      <c r="P10" s="119">
        <v>6.0896508985746749</v>
      </c>
      <c r="Q10" s="119">
        <v>6.0259446103160705</v>
      </c>
      <c r="R10" s="119">
        <v>6.7693580068231158</v>
      </c>
      <c r="S10" s="119">
        <v>6.3203642384105958</v>
      </c>
      <c r="T10" s="119">
        <v>6.0289855072463769</v>
      </c>
      <c r="U10" s="119">
        <v>6.1481251936783394</v>
      </c>
      <c r="V10" s="119">
        <v>7.0644095788604462</v>
      </c>
      <c r="W10" s="119">
        <v>6.8508970921839554</v>
      </c>
      <c r="X10" s="119">
        <v>6.2804123711340205</v>
      </c>
      <c r="Y10" s="119">
        <v>5.2898026655646246</v>
      </c>
      <c r="Z10" s="119">
        <v>5.3710027941633038</v>
      </c>
      <c r="AA10" s="119">
        <v>8.2755767042515771</v>
      </c>
      <c r="AB10" s="119">
        <v>9.2283790781978254</v>
      </c>
      <c r="AC10" s="119">
        <v>9.7154681841696853</v>
      </c>
      <c r="AD10" s="119">
        <v>9.931719428926133</v>
      </c>
      <c r="AE10" s="119">
        <v>7.8173534893352663</v>
      </c>
      <c r="AF10" s="119">
        <v>8.5732035618140401</v>
      </c>
      <c r="AG10" s="119">
        <v>7.4645408427373434</v>
      </c>
      <c r="AH10" s="119">
        <v>8.4847233691164341</v>
      </c>
      <c r="AI10" s="119">
        <v>7.7518579686209739</v>
      </c>
      <c r="AJ10" s="119">
        <v>6.9840817590585322</v>
      </c>
      <c r="AK10" s="119">
        <v>7.4832782824112298</v>
      </c>
      <c r="AL10" s="119">
        <v>8.138593766179973</v>
      </c>
      <c r="AM10" s="119">
        <v>5.0605766249870827</v>
      </c>
      <c r="AN10" s="144">
        <v>10.719160868210613</v>
      </c>
      <c r="AO10" s="144">
        <v>10.411986727498963</v>
      </c>
      <c r="AP10" s="144">
        <v>10.390515634706977</v>
      </c>
      <c r="AQ10" s="144">
        <v>8.4403472509301363</v>
      </c>
      <c r="AR10" s="144">
        <v>8.9854102087208112</v>
      </c>
      <c r="AS10" s="144">
        <v>8.6763440860215049</v>
      </c>
      <c r="AT10" s="144">
        <v>9.735917901938425</v>
      </c>
      <c r="AU10" s="144">
        <v>9.1251884746462864</v>
      </c>
      <c r="AV10" s="144">
        <v>7.7656707191427978</v>
      </c>
      <c r="AW10" s="144">
        <v>7.2119390695759567</v>
      </c>
      <c r="AX10" s="144">
        <v>7.5176312803053742</v>
      </c>
      <c r="AY10" s="144">
        <v>8.9514206013017876</v>
      </c>
      <c r="AZ10" s="119">
        <v>10.739873614420388</v>
      </c>
      <c r="BA10" s="119">
        <v>10.382259898687066</v>
      </c>
      <c r="BB10" s="119">
        <v>10.749979261717128</v>
      </c>
      <c r="BC10" s="119">
        <v>8.4270253491981375</v>
      </c>
      <c r="BD10" s="119">
        <v>8.3379524301964842</v>
      </c>
      <c r="BE10" s="119">
        <v>7.8349599999999997</v>
      </c>
      <c r="BF10" s="119">
        <v>8.76112</v>
      </c>
      <c r="BG10" s="248"/>
    </row>
    <row r="11" spans="2:59" ht="13.9">
      <c r="B11" s="61">
        <v>7</v>
      </c>
      <c r="C11" s="10" t="s">
        <v>102</v>
      </c>
      <c r="D11" s="119">
        <v>2.4832560535806287</v>
      </c>
      <c r="E11" s="119">
        <v>2.2041404882068187</v>
      </c>
      <c r="F11" s="119">
        <v>3.2513633089824059</v>
      </c>
      <c r="G11" s="119">
        <v>2.6718733943068544</v>
      </c>
      <c r="H11" s="119">
        <v>2.7085478887744592</v>
      </c>
      <c r="I11" s="119">
        <v>2.5749304768771242</v>
      </c>
      <c r="J11" s="119">
        <v>2.6692775430279294</v>
      </c>
      <c r="K11" s="119">
        <v>2.8836251287332644</v>
      </c>
      <c r="L11" s="119">
        <v>2.7040921242031666</v>
      </c>
      <c r="M11" s="119">
        <v>2.7010309278350517</v>
      </c>
      <c r="N11" s="119">
        <v>2.8789598596636057</v>
      </c>
      <c r="O11" s="119">
        <v>2.9147286821705425</v>
      </c>
      <c r="P11" s="119">
        <v>2.9539351373683123</v>
      </c>
      <c r="Q11" s="119">
        <v>2.4812107484814168</v>
      </c>
      <c r="R11" s="119">
        <v>2.7499224645921636</v>
      </c>
      <c r="S11" s="119">
        <v>3.0422185430463573</v>
      </c>
      <c r="T11" s="119">
        <v>3.1262939958592133</v>
      </c>
      <c r="U11" s="119">
        <v>3.3157731639293462</v>
      </c>
      <c r="V11" s="119">
        <v>3.9739884393063587</v>
      </c>
      <c r="W11" s="119">
        <v>3.8770880593936892</v>
      </c>
      <c r="X11" s="119">
        <v>3.2061855670103094</v>
      </c>
      <c r="Y11" s="119">
        <v>3.0271722285360059</v>
      </c>
      <c r="Z11" s="119">
        <v>3.1667184104315429</v>
      </c>
      <c r="AA11" s="119">
        <v>4.3239888279714487</v>
      </c>
      <c r="AB11" s="119">
        <v>4.9715173485240802</v>
      </c>
      <c r="AC11" s="119">
        <v>5.1526125193998968</v>
      </c>
      <c r="AD11" s="119">
        <v>5.141733912683633</v>
      </c>
      <c r="AE11" s="119">
        <v>5.3116587285152201</v>
      </c>
      <c r="AF11" s="119">
        <v>5.4255539449161319</v>
      </c>
      <c r="AG11" s="119">
        <v>3.8720364426959315</v>
      </c>
      <c r="AH11" s="119">
        <v>5.4954582989265068</v>
      </c>
      <c r="AI11" s="119">
        <v>4.0627580511973571</v>
      </c>
      <c r="AJ11" s="119">
        <v>3.5514813667802207</v>
      </c>
      <c r="AK11" s="119">
        <v>3.7308009909165976</v>
      </c>
      <c r="AL11" s="119">
        <v>4.1933519726623176</v>
      </c>
      <c r="AM11" s="119">
        <v>2.6861217319417174</v>
      </c>
      <c r="AN11" s="144">
        <v>4.9343026274794894</v>
      </c>
      <c r="AO11" s="144">
        <v>4.9936955620074661</v>
      </c>
      <c r="AP11" s="144">
        <v>5.1760612963346446</v>
      </c>
      <c r="AQ11" s="144">
        <v>4.5438197602315009</v>
      </c>
      <c r="AR11" s="144">
        <v>4.3603223806571609</v>
      </c>
      <c r="AS11" s="144">
        <v>4.5067411083540119</v>
      </c>
      <c r="AT11" s="144">
        <v>4.3468021146470406</v>
      </c>
      <c r="AU11" s="144">
        <v>4.410368687390271</v>
      </c>
      <c r="AV11" s="144">
        <v>3.5219039769214917</v>
      </c>
      <c r="AW11" s="144">
        <v>3.7428571428571424</v>
      </c>
      <c r="AX11" s="144">
        <v>4.0044568245125349</v>
      </c>
      <c r="AY11" s="144">
        <v>4.356276474842443</v>
      </c>
      <c r="AZ11" s="119">
        <v>4.9763596809282085</v>
      </c>
      <c r="BA11" s="119">
        <v>5.0507598469967947</v>
      </c>
      <c r="BB11" s="119">
        <v>4.929489838241393</v>
      </c>
      <c r="BC11" s="119">
        <v>3.9930470770822555</v>
      </c>
      <c r="BD11" s="119">
        <v>3.9909410548086868</v>
      </c>
      <c r="BE11" s="119">
        <v>4.6853999999999996</v>
      </c>
      <c r="BF11" s="119">
        <v>4.3226000000000004</v>
      </c>
      <c r="BG11" s="248"/>
    </row>
    <row r="12" spans="2:59" ht="13.9">
      <c r="B12" s="61">
        <v>8</v>
      </c>
      <c r="C12" s="10" t="s">
        <v>103</v>
      </c>
      <c r="D12" s="119">
        <v>0.92076249356002049</v>
      </c>
      <c r="E12" s="119">
        <v>1.039859923782058</v>
      </c>
      <c r="F12" s="119">
        <v>1.0280893095997532</v>
      </c>
      <c r="G12" s="157">
        <v>1.0498407152399547</v>
      </c>
      <c r="H12" s="157">
        <v>1.1563336766220391</v>
      </c>
      <c r="I12" s="157">
        <v>1.1313214543207335</v>
      </c>
      <c r="J12" s="157">
        <v>1.4284241987014323</v>
      </c>
      <c r="K12" s="157">
        <v>1.5493305870236871</v>
      </c>
      <c r="L12" s="157">
        <v>1.8383713756940161</v>
      </c>
      <c r="M12" s="157">
        <v>1.8288659793814435</v>
      </c>
      <c r="N12" s="157">
        <v>2.2557011660303377</v>
      </c>
      <c r="O12" s="157">
        <v>2.2689405684754518</v>
      </c>
      <c r="P12" s="119">
        <v>1.8901053501342699</v>
      </c>
      <c r="Q12" s="119">
        <v>1.6530423144239677</v>
      </c>
      <c r="R12" s="119">
        <v>1.8724284089734313</v>
      </c>
      <c r="S12" s="157">
        <v>2.0409768211920531</v>
      </c>
      <c r="T12" s="157">
        <v>1.9863354037267082</v>
      </c>
      <c r="U12" s="157">
        <v>2.257204834211342</v>
      </c>
      <c r="V12" s="157">
        <v>2.1975639966969447</v>
      </c>
      <c r="W12" s="157">
        <v>3.4666941637451023</v>
      </c>
      <c r="X12" s="157">
        <v>2.2288659793814434</v>
      </c>
      <c r="Y12" s="157">
        <v>1.7460481454695733</v>
      </c>
      <c r="Z12" s="157">
        <v>2.328469419434958</v>
      </c>
      <c r="AA12" s="157">
        <v>3.6619426916313231</v>
      </c>
      <c r="AB12" s="119">
        <v>3.9772138788192644</v>
      </c>
      <c r="AC12" s="119">
        <v>4.2110708742886702</v>
      </c>
      <c r="AD12" s="119">
        <v>4.5623836126629422</v>
      </c>
      <c r="AE12" s="157">
        <v>4.0691654586870989</v>
      </c>
      <c r="AF12" s="157">
        <v>4.2244771174156144</v>
      </c>
      <c r="AG12" s="157">
        <v>3.2322186561755877</v>
      </c>
      <c r="AH12" s="157">
        <v>4.3094549958711807</v>
      </c>
      <c r="AI12" s="157">
        <v>3.9822460776218005</v>
      </c>
      <c r="AJ12" s="157">
        <v>3.043666769897801</v>
      </c>
      <c r="AK12" s="157">
        <v>3.6911230388109</v>
      </c>
      <c r="AL12" s="157">
        <v>3.939070104587346</v>
      </c>
      <c r="AM12" s="157">
        <v>2.0554304019840859</v>
      </c>
      <c r="AN12" s="144">
        <v>5.1904455291307512</v>
      </c>
      <c r="AO12" s="144">
        <v>5.1379095810866859</v>
      </c>
      <c r="AP12" s="144">
        <v>5.2684199627252015</v>
      </c>
      <c r="AQ12" s="144">
        <v>4.5233154195948737</v>
      </c>
      <c r="AR12" s="144">
        <v>4.2647241165530065</v>
      </c>
      <c r="AS12" s="144">
        <v>4.8257237386269649</v>
      </c>
      <c r="AT12" s="144">
        <v>4.6524308075049241</v>
      </c>
      <c r="AU12" s="144">
        <v>4.1900237529691209</v>
      </c>
      <c r="AV12" s="144">
        <v>3.4294663094992788</v>
      </c>
      <c r="AW12" s="144">
        <v>3.8088513791683822</v>
      </c>
      <c r="AX12" s="144">
        <v>4.132714329928814</v>
      </c>
      <c r="AY12" s="144">
        <v>4.4823638805661741</v>
      </c>
      <c r="AZ12" s="119">
        <v>5.3014399668496832</v>
      </c>
      <c r="BA12" s="119">
        <v>5.4171404941589989</v>
      </c>
      <c r="BB12" s="119">
        <v>5.400165906262961</v>
      </c>
      <c r="BC12" s="119">
        <v>3.9806725297465078</v>
      </c>
      <c r="BD12" s="119">
        <v>4.6136091003102377</v>
      </c>
      <c r="BE12" s="119">
        <v>10.160600000000001</v>
      </c>
      <c r="BF12" s="119">
        <v>4.73996</v>
      </c>
      <c r="BG12" s="248"/>
    </row>
    <row r="13" spans="2:59" ht="13.9">
      <c r="B13" s="61">
        <v>9</v>
      </c>
      <c r="C13" s="10" t="s">
        <v>104</v>
      </c>
      <c r="D13" s="119">
        <v>0.27820710973724883</v>
      </c>
      <c r="E13" s="119">
        <v>0.39138943248532293</v>
      </c>
      <c r="F13" s="119">
        <v>0.55561271735775286</v>
      </c>
      <c r="G13" s="119">
        <v>1.305107388757579</v>
      </c>
      <c r="H13" s="119">
        <v>0.85478887744593202</v>
      </c>
      <c r="I13" s="119">
        <v>0.80337830878566285</v>
      </c>
      <c r="J13" s="119">
        <v>1.3088735442646604</v>
      </c>
      <c r="K13" s="119">
        <v>1.1740473738414006</v>
      </c>
      <c r="L13" s="119">
        <v>1.2029611351017888</v>
      </c>
      <c r="M13" s="119">
        <v>1.3195876288659794</v>
      </c>
      <c r="N13" s="119">
        <v>1.3001754204932412</v>
      </c>
      <c r="O13" s="119">
        <v>1.4470284237726097</v>
      </c>
      <c r="P13" s="119">
        <v>1.5286097913654204</v>
      </c>
      <c r="Q13" s="119">
        <v>0.43241017193452069</v>
      </c>
      <c r="R13" s="119">
        <v>1.7884834074227229</v>
      </c>
      <c r="S13" s="119">
        <v>1.8522350993377483</v>
      </c>
      <c r="T13" s="119">
        <v>1.7701863354037268</v>
      </c>
      <c r="U13" s="119">
        <v>1.8386530317116001</v>
      </c>
      <c r="V13" s="119">
        <v>2.0231213872832368</v>
      </c>
      <c r="W13" s="119">
        <v>1.99010105176325</v>
      </c>
      <c r="X13" s="119">
        <v>1.2061855670103092</v>
      </c>
      <c r="Y13" s="119">
        <v>2.2006405620415332</v>
      </c>
      <c r="Z13" s="119">
        <v>2.328469419434958</v>
      </c>
      <c r="AA13" s="119">
        <v>2.7930071376849077</v>
      </c>
      <c r="AB13" s="119">
        <v>3.190056965302952</v>
      </c>
      <c r="AC13" s="119">
        <v>2.9798241076047591</v>
      </c>
      <c r="AD13" s="119">
        <v>3.0726256983240225</v>
      </c>
      <c r="AE13" s="119">
        <v>2.7438393042037688</v>
      </c>
      <c r="AF13" s="119">
        <v>3.0026920687512941</v>
      </c>
      <c r="AG13" s="119">
        <v>3.1680298167512166</v>
      </c>
      <c r="AH13" s="119">
        <v>2.8282411230388109</v>
      </c>
      <c r="AI13" s="119">
        <v>3.0759702725020643</v>
      </c>
      <c r="AJ13" s="119">
        <v>2.9914731082894601</v>
      </c>
      <c r="AK13" s="119">
        <v>3.2161023947151115</v>
      </c>
      <c r="AL13" s="119">
        <v>3.353670912291602</v>
      </c>
      <c r="AM13" s="119">
        <v>3.5366745892322</v>
      </c>
      <c r="AN13" s="144">
        <v>4.1412400041541177</v>
      </c>
      <c r="AO13" s="144">
        <v>4.335130651182082</v>
      </c>
      <c r="AP13" s="144">
        <v>4.0179333195278524</v>
      </c>
      <c r="AQ13" s="144">
        <v>3.9682513435303846</v>
      </c>
      <c r="AR13" s="144">
        <v>4.8410828683612319</v>
      </c>
      <c r="AS13" s="144">
        <v>4.831306865177833</v>
      </c>
      <c r="AT13" s="144">
        <v>5.3114543381362083</v>
      </c>
      <c r="AU13" s="144">
        <v>5.0414954043168443</v>
      </c>
      <c r="AV13" s="144">
        <v>5.0826705130846896</v>
      </c>
      <c r="AW13" s="144">
        <v>5.1162618361465624</v>
      </c>
      <c r="AX13" s="144">
        <v>5.1221293717115444</v>
      </c>
      <c r="AY13" s="144">
        <v>5.7831180907118505</v>
      </c>
      <c r="AZ13" s="119">
        <v>6.5137470216512998</v>
      </c>
      <c r="BA13" s="119">
        <v>6.6005582549364208</v>
      </c>
      <c r="BB13" s="119">
        <v>8.8130651182082129</v>
      </c>
      <c r="BC13" s="119">
        <v>10.598282462493533</v>
      </c>
      <c r="BD13" s="119">
        <v>9.1325749741468467</v>
      </c>
      <c r="BE13" s="119">
        <v>5.2069599999999996</v>
      </c>
      <c r="BF13" s="119">
        <v>10.3432</v>
      </c>
      <c r="BG13" s="248"/>
    </row>
    <row r="14" spans="2:59" ht="13.9">
      <c r="B14" s="61">
        <v>10</v>
      </c>
      <c r="C14" s="10" t="s">
        <v>105</v>
      </c>
      <c r="D14" s="119">
        <v>8.75075</v>
      </c>
      <c r="E14" s="119">
        <v>11.155443999999999</v>
      </c>
      <c r="F14" s="119">
        <v>11.545563000000001</v>
      </c>
      <c r="G14" s="119">
        <v>11.069982</v>
      </c>
      <c r="H14" s="119">
        <v>8.0056200000000004</v>
      </c>
      <c r="I14" s="119">
        <v>10.723222</v>
      </c>
      <c r="J14" s="119">
        <v>11.058978</v>
      </c>
      <c r="K14" s="119">
        <v>9.3433200000000003</v>
      </c>
      <c r="L14" s="119">
        <v>8.3219399999999997</v>
      </c>
      <c r="M14" s="119">
        <v>7.6425999999999998</v>
      </c>
      <c r="N14" s="119">
        <v>8.4224529999999991</v>
      </c>
      <c r="O14" s="119">
        <v>8.9311249999999998</v>
      </c>
      <c r="P14" s="119">
        <v>10.761673999999999</v>
      </c>
      <c r="Q14" s="119">
        <v>10.142982</v>
      </c>
      <c r="R14" s="119">
        <v>11.46297</v>
      </c>
      <c r="S14" s="119">
        <v>12.196480000000001</v>
      </c>
      <c r="T14" s="119">
        <v>11.653179999999999</v>
      </c>
      <c r="U14" s="119">
        <v>9.8340069999999997</v>
      </c>
      <c r="V14" s="119">
        <v>9.0229999999999997</v>
      </c>
      <c r="W14" s="119">
        <v>10.054752000000001</v>
      </c>
      <c r="X14" s="119">
        <v>7.8795000000000002</v>
      </c>
      <c r="Y14" s="119">
        <v>7.4311199999999999</v>
      </c>
      <c r="Z14" s="119">
        <v>9.5410510000000013</v>
      </c>
      <c r="AA14" s="119">
        <v>11.004645</v>
      </c>
      <c r="AB14" s="119">
        <v>13.334705000000001</v>
      </c>
      <c r="AC14" s="119">
        <v>13.611195</v>
      </c>
      <c r="AD14" s="119">
        <v>14.767285999999999</v>
      </c>
      <c r="AE14" s="119">
        <v>11.624408000000001</v>
      </c>
      <c r="AF14" s="119">
        <v>12.855105999999999</v>
      </c>
      <c r="AG14" s="119">
        <v>10.878731999999999</v>
      </c>
      <c r="AH14" s="119">
        <v>11.70412</v>
      </c>
      <c r="AI14" s="119">
        <v>9.0126880000000007</v>
      </c>
      <c r="AJ14" s="119">
        <v>10.225663260039228</v>
      </c>
      <c r="AK14" s="119">
        <v>10.508670520231213</v>
      </c>
      <c r="AL14" s="119">
        <v>10.908563736149942</v>
      </c>
      <c r="AM14" s="119">
        <v>8.9912162860390605</v>
      </c>
      <c r="AN14" s="144">
        <v>13.87143005504206</v>
      </c>
      <c r="AO14" s="144">
        <v>12.992948983824139</v>
      </c>
      <c r="AP14" s="144">
        <v>16.192172292400084</v>
      </c>
      <c r="AQ14" s="144">
        <v>14.049607275733774</v>
      </c>
      <c r="AR14" s="144">
        <v>12.7042777433354</v>
      </c>
      <c r="AS14" s="144">
        <v>13.588089330024815</v>
      </c>
      <c r="AT14" s="144">
        <v>13.269202860993055</v>
      </c>
      <c r="AU14" s="144">
        <v>10.896622947433645</v>
      </c>
      <c r="AV14" s="144">
        <v>9.4877395425509992</v>
      </c>
      <c r="AW14" s="144">
        <v>9.3215314944421586</v>
      </c>
      <c r="AX14" s="144">
        <v>9.892499742081915</v>
      </c>
      <c r="AY14" s="144">
        <v>13.514619278851121</v>
      </c>
      <c r="AZ14" s="119">
        <v>14.761835698746502</v>
      </c>
      <c r="BA14" s="119">
        <v>14.749508942417037</v>
      </c>
      <c r="BB14" s="119">
        <v>16.637080049771878</v>
      </c>
      <c r="BC14" s="119">
        <v>12.661769270563891</v>
      </c>
      <c r="BD14" s="119">
        <v>11.894105480868665</v>
      </c>
      <c r="BE14" s="119">
        <v>7.4187200000000004</v>
      </c>
      <c r="BF14" s="119">
        <v>11.880800000000001</v>
      </c>
      <c r="BG14" s="248"/>
    </row>
    <row r="15" spans="2:59" ht="13.9">
      <c r="B15" s="61">
        <v>11</v>
      </c>
      <c r="C15" s="10" t="s">
        <v>106</v>
      </c>
      <c r="D15" s="119" t="s">
        <v>124</v>
      </c>
      <c r="E15" s="119" t="s">
        <v>124</v>
      </c>
      <c r="F15" s="119" t="s">
        <v>124</v>
      </c>
      <c r="G15" s="119" t="s">
        <v>124</v>
      </c>
      <c r="H15" s="119" t="s">
        <v>124</v>
      </c>
      <c r="I15" s="119" t="s">
        <v>124</v>
      </c>
      <c r="J15" s="119" t="s">
        <v>124</v>
      </c>
      <c r="K15" s="158">
        <v>5.51</v>
      </c>
      <c r="L15" s="158">
        <v>5.07</v>
      </c>
      <c r="M15" s="158">
        <v>5.17</v>
      </c>
      <c r="N15" s="158">
        <v>5.4</v>
      </c>
      <c r="O15" s="158">
        <v>5.7874559999999997</v>
      </c>
      <c r="P15" s="119">
        <v>5.2409729999999994</v>
      </c>
      <c r="Q15" s="119">
        <v>5.5986285000000002</v>
      </c>
      <c r="R15" s="119">
        <v>5.16</v>
      </c>
      <c r="S15" s="119">
        <v>5.1042084999999995</v>
      </c>
      <c r="T15" s="119">
        <v>4.9503119999999994</v>
      </c>
      <c r="U15" s="119">
        <v>5.1725004999999999</v>
      </c>
      <c r="V15" s="119">
        <v>5.3968084999999997</v>
      </c>
      <c r="W15" s="158">
        <v>6.0177719999999999</v>
      </c>
      <c r="X15" s="158">
        <v>5.0443045</v>
      </c>
      <c r="Y15" s="158">
        <v>4.25</v>
      </c>
      <c r="Z15" s="158">
        <v>5.42</v>
      </c>
      <c r="AA15" s="158">
        <v>6.98</v>
      </c>
      <c r="AB15" s="119">
        <v>4.92</v>
      </c>
      <c r="AC15" s="119">
        <v>8.32</v>
      </c>
      <c r="AD15" s="119">
        <v>9.01</v>
      </c>
      <c r="AE15" s="119">
        <v>6.98</v>
      </c>
      <c r="AF15" s="119">
        <v>7.24</v>
      </c>
      <c r="AG15" s="119">
        <v>6.03</v>
      </c>
      <c r="AH15" s="119">
        <v>7.32</v>
      </c>
      <c r="AI15" s="158">
        <v>7.16</v>
      </c>
      <c r="AJ15" s="158">
        <v>3.9879426034892123</v>
      </c>
      <c r="AK15" s="158">
        <v>4.3774979355904211</v>
      </c>
      <c r="AL15" s="158">
        <v>4.9534638086362222</v>
      </c>
      <c r="AM15" s="158">
        <v>2.7148083083600292</v>
      </c>
      <c r="AN15" s="144">
        <v>6.8004154117769238</v>
      </c>
      <c r="AO15" s="144">
        <v>7.0116963915387807</v>
      </c>
      <c r="AP15" s="144">
        <v>6.7377510871816115</v>
      </c>
      <c r="AQ15" s="144">
        <v>5.1340223232740794</v>
      </c>
      <c r="AR15" s="144">
        <v>7.0648894399669349</v>
      </c>
      <c r="AS15" s="144">
        <v>7.6514888337468987</v>
      </c>
      <c r="AT15" s="144">
        <v>7.6500466466258938</v>
      </c>
      <c r="AU15" s="144">
        <v>7.2332954662811106</v>
      </c>
      <c r="AV15" s="144">
        <v>5.3083453533896563</v>
      </c>
      <c r="AW15" s="144">
        <v>5.8857142857142861</v>
      </c>
      <c r="AX15" s="144">
        <v>6.5835964097802533</v>
      </c>
      <c r="AY15" s="144">
        <v>8.5407170162206842</v>
      </c>
      <c r="AZ15" s="119">
        <v>10.963472495597223</v>
      </c>
      <c r="BA15" s="119">
        <v>10.820427995451254</v>
      </c>
      <c r="BB15" s="119">
        <v>9.8502695976773111</v>
      </c>
      <c r="BC15" s="119">
        <v>6.3287325400931191</v>
      </c>
      <c r="BD15" s="119">
        <v>6.2121199586349531</v>
      </c>
      <c r="BE15" s="119">
        <v>0.53708</v>
      </c>
      <c r="BF15" s="119">
        <v>6.7918399999999997</v>
      </c>
      <c r="BG15" s="248"/>
    </row>
    <row r="16" spans="2:59" ht="13.9">
      <c r="B16" s="61">
        <v>12</v>
      </c>
      <c r="C16" s="10" t="s">
        <v>107</v>
      </c>
      <c r="D16" s="119" t="s">
        <v>124</v>
      </c>
      <c r="E16" s="119" t="s">
        <v>124</v>
      </c>
      <c r="F16" s="119" t="s">
        <v>124</v>
      </c>
      <c r="G16" s="119" t="s">
        <v>124</v>
      </c>
      <c r="H16" s="119" t="s">
        <v>124</v>
      </c>
      <c r="I16" s="119" t="s">
        <v>124</v>
      </c>
      <c r="J16" s="119" t="s">
        <v>124</v>
      </c>
      <c r="K16" s="119" t="s">
        <v>124</v>
      </c>
      <c r="L16" s="119" t="s">
        <v>124</v>
      </c>
      <c r="M16" s="119" t="s">
        <v>124</v>
      </c>
      <c r="N16" s="119" t="s">
        <v>124</v>
      </c>
      <c r="O16" s="119">
        <v>1.71</v>
      </c>
      <c r="P16" s="119">
        <v>1.84</v>
      </c>
      <c r="Q16" s="119">
        <v>1.7</v>
      </c>
      <c r="R16" s="119">
        <v>1.82</v>
      </c>
      <c r="S16" s="119">
        <v>1.81</v>
      </c>
      <c r="T16" s="119">
        <v>1.53</v>
      </c>
      <c r="U16" s="119">
        <v>1.66</v>
      </c>
      <c r="V16" s="119">
        <v>1.9</v>
      </c>
      <c r="W16" s="119">
        <v>2.5299999999999998</v>
      </c>
      <c r="X16" s="119">
        <v>1.92</v>
      </c>
      <c r="Y16" s="119">
        <v>1.54</v>
      </c>
      <c r="Z16" s="119">
        <v>2.88</v>
      </c>
      <c r="AA16" s="119">
        <v>3.52</v>
      </c>
      <c r="AB16" s="119">
        <v>4.37</v>
      </c>
      <c r="AC16" s="119">
        <v>1.76</v>
      </c>
      <c r="AD16" s="119">
        <v>4.5</v>
      </c>
      <c r="AE16" s="119">
        <v>3.6</v>
      </c>
      <c r="AF16" s="119">
        <v>4.03</v>
      </c>
      <c r="AG16" s="119">
        <v>3.15</v>
      </c>
      <c r="AH16" s="119">
        <v>4.13</v>
      </c>
      <c r="AI16" s="119">
        <v>3.77</v>
      </c>
      <c r="AJ16" s="119">
        <v>3.3982037782595231</v>
      </c>
      <c r="AK16" s="119">
        <v>4.0153592072667221</v>
      </c>
      <c r="AL16" s="119">
        <v>4.5532981257119189</v>
      </c>
      <c r="AM16" s="119">
        <v>2.0524129378939757</v>
      </c>
      <c r="AN16" s="144">
        <v>6.4599439194101151</v>
      </c>
      <c r="AO16" s="144">
        <v>6.5409788469514716</v>
      </c>
      <c r="AP16" s="144">
        <v>6.3260302340028991</v>
      </c>
      <c r="AQ16" s="144">
        <v>4.638280281107896</v>
      </c>
      <c r="AR16" s="144">
        <v>4.4780739822277331</v>
      </c>
      <c r="AS16" s="144">
        <v>4.8595533498759309</v>
      </c>
      <c r="AT16" s="144">
        <v>0</v>
      </c>
      <c r="AU16" s="144">
        <v>4.5214086543426619</v>
      </c>
      <c r="AV16" s="144">
        <v>3.0245209148980012</v>
      </c>
      <c r="AW16" s="144">
        <v>3.5469328941951419</v>
      </c>
      <c r="AX16" s="144">
        <v>4.1576395336841019</v>
      </c>
      <c r="AY16" s="144">
        <v>5.1851224300030996</v>
      </c>
      <c r="AZ16" s="119">
        <v>6.5577955039883973</v>
      </c>
      <c r="BA16" s="119">
        <v>6.5793032151349111</v>
      </c>
      <c r="BB16" s="119">
        <v>5.9480713396930733</v>
      </c>
      <c r="BC16" s="119">
        <v>4.3631246766683915</v>
      </c>
      <c r="BD16" s="119">
        <v>4.4445087900723887</v>
      </c>
      <c r="BE16" s="119">
        <v>4.5672800000000002</v>
      </c>
      <c r="BF16" s="119">
        <v>4.7286400000000004</v>
      </c>
      <c r="BG16" s="248"/>
    </row>
    <row r="17" spans="2:59" ht="13.9">
      <c r="B17" s="61">
        <v>13</v>
      </c>
      <c r="C17" s="10" t="s">
        <v>108</v>
      </c>
      <c r="D17" s="119" t="s">
        <v>124</v>
      </c>
      <c r="E17" s="119" t="s">
        <v>124</v>
      </c>
      <c r="F17" s="119" t="s">
        <v>124</v>
      </c>
      <c r="G17" s="119" t="s">
        <v>124</v>
      </c>
      <c r="H17" s="119" t="s">
        <v>124</v>
      </c>
      <c r="I17" s="119" t="s">
        <v>124</v>
      </c>
      <c r="J17" s="119" t="s">
        <v>124</v>
      </c>
      <c r="K17" s="119" t="s">
        <v>124</v>
      </c>
      <c r="L17" s="119" t="s">
        <v>124</v>
      </c>
      <c r="M17" s="119" t="s">
        <v>124</v>
      </c>
      <c r="N17" s="119" t="s">
        <v>124</v>
      </c>
      <c r="O17" s="119" t="s">
        <v>124</v>
      </c>
      <c r="P17" s="119" t="s">
        <v>124</v>
      </c>
      <c r="Q17" s="119" t="s">
        <v>124</v>
      </c>
      <c r="R17" s="119" t="s">
        <v>124</v>
      </c>
      <c r="S17" s="119" t="s">
        <v>124</v>
      </c>
      <c r="T17" s="119">
        <v>0.154</v>
      </c>
      <c r="U17" s="119">
        <v>0.22189999999999999</v>
      </c>
      <c r="V17" s="119">
        <v>0.33119999999999999</v>
      </c>
      <c r="W17" s="119">
        <v>0.2802</v>
      </c>
      <c r="X17" s="119">
        <v>0.38</v>
      </c>
      <c r="Y17" s="119">
        <v>0.46210000000000001</v>
      </c>
      <c r="Z17" s="119">
        <v>0.42370000000000002</v>
      </c>
      <c r="AA17" s="119">
        <v>0.63329999999999997</v>
      </c>
      <c r="AB17" s="119">
        <v>0.70450000000000002</v>
      </c>
      <c r="AC17" s="119">
        <v>0.44350000000000001</v>
      </c>
      <c r="AD17" s="119">
        <v>0.94340000000000002</v>
      </c>
      <c r="AE17" s="119">
        <v>0.75419999999999998</v>
      </c>
      <c r="AF17" s="119">
        <v>0.82420000000000004</v>
      </c>
      <c r="AG17" s="119">
        <v>0.64410000000000001</v>
      </c>
      <c r="AH17" s="119">
        <v>0.72119999999999995</v>
      </c>
      <c r="AI17" s="119">
        <v>0.88119999999999998</v>
      </c>
      <c r="AJ17" s="119">
        <v>0.73087643233199129</v>
      </c>
      <c r="AK17" s="119">
        <v>0.65235342691990095</v>
      </c>
      <c r="AL17" s="119">
        <v>0.81598840219529878</v>
      </c>
      <c r="AM17" s="119">
        <v>0.85563707760669627</v>
      </c>
      <c r="AN17" s="144">
        <v>1.1465365043098974</v>
      </c>
      <c r="AO17" s="144">
        <v>1.1945250933222729</v>
      </c>
      <c r="AP17" s="144">
        <v>1.1472354524746324</v>
      </c>
      <c r="AQ17" s="144">
        <v>0.99214551467548573</v>
      </c>
      <c r="AR17" s="144">
        <v>1.2605910312047943</v>
      </c>
      <c r="AS17" s="144">
        <v>1.3895781637717124</v>
      </c>
      <c r="AT17" s="144">
        <v>0.95366435161190011</v>
      </c>
      <c r="AU17" s="144">
        <v>0.76009501187648454</v>
      </c>
      <c r="AV17" s="144">
        <v>0.76653616319802187</v>
      </c>
      <c r="AW17" s="144">
        <v>0.62165500205846025</v>
      </c>
      <c r="AX17" s="144">
        <v>0.69328381306097187</v>
      </c>
      <c r="AY17" s="144">
        <v>0.89265419981403038</v>
      </c>
      <c r="AZ17" s="119">
        <v>1.0027970579094581</v>
      </c>
      <c r="BA17" s="119">
        <v>0.60374237568489608</v>
      </c>
      <c r="BB17" s="119">
        <v>0.96225632517627546</v>
      </c>
      <c r="BC17" s="119">
        <v>0.80289705121572685</v>
      </c>
      <c r="BD17" s="119">
        <v>0.91416752843846949</v>
      </c>
      <c r="BE17" s="119">
        <v>12.767200000000001</v>
      </c>
      <c r="BF17" s="119">
        <v>1.1639999999999999</v>
      </c>
      <c r="BG17" s="248"/>
    </row>
    <row r="18" spans="2:59" ht="13.9">
      <c r="B18" s="61">
        <v>14</v>
      </c>
      <c r="C18" s="10" t="s">
        <v>109</v>
      </c>
      <c r="D18" s="119" t="s">
        <v>124</v>
      </c>
      <c r="E18" s="119" t="s">
        <v>124</v>
      </c>
      <c r="F18" s="119" t="s">
        <v>124</v>
      </c>
      <c r="G18" s="119" t="s">
        <v>124</v>
      </c>
      <c r="H18" s="119" t="s">
        <v>124</v>
      </c>
      <c r="I18" s="119" t="s">
        <v>124</v>
      </c>
      <c r="J18" s="119" t="s">
        <v>124</v>
      </c>
      <c r="K18" s="119" t="s">
        <v>124</v>
      </c>
      <c r="L18" s="119" t="s">
        <v>124</v>
      </c>
      <c r="M18" s="119" t="s">
        <v>124</v>
      </c>
      <c r="N18" s="119">
        <v>0.49867725699999998</v>
      </c>
      <c r="O18" s="119">
        <v>0.48899199999999998</v>
      </c>
      <c r="P18" s="119">
        <v>0.54419195600000003</v>
      </c>
      <c r="Q18" s="119">
        <v>0.50743713599999996</v>
      </c>
      <c r="R18" s="119">
        <v>0.55986797799999988</v>
      </c>
      <c r="S18" s="119">
        <v>0.52495510400000001</v>
      </c>
      <c r="T18" s="119">
        <v>0.49393146000000004</v>
      </c>
      <c r="U18" s="119">
        <v>0.46856515199999998</v>
      </c>
      <c r="V18" s="119">
        <v>0.50395775199999993</v>
      </c>
      <c r="W18" s="119">
        <v>0.54862270800000001</v>
      </c>
      <c r="X18" s="119">
        <v>0.4335888</v>
      </c>
      <c r="Y18" s="119">
        <v>0.42832149999999997</v>
      </c>
      <c r="Z18" s="119">
        <v>0.52201850000000005</v>
      </c>
      <c r="AA18" s="119">
        <v>0.51045020000000008</v>
      </c>
      <c r="AB18" s="119">
        <v>0.64966599999999997</v>
      </c>
      <c r="AC18" s="119">
        <v>0.73791899999999999</v>
      </c>
      <c r="AD18" s="119">
        <v>0.63140740000000006</v>
      </c>
      <c r="AE18" s="119">
        <v>0.51916839999999997</v>
      </c>
      <c r="AF18" s="119">
        <v>0.51296319999999995</v>
      </c>
      <c r="AG18" s="119">
        <v>0.37465443000000004</v>
      </c>
      <c r="AH18" s="119">
        <v>0.56984111999999987</v>
      </c>
      <c r="AI18" s="119">
        <v>0.46160636799999993</v>
      </c>
      <c r="AJ18" s="119">
        <v>0.37749561267678333</v>
      </c>
      <c r="AK18" s="119">
        <v>0.38319570602807601</v>
      </c>
      <c r="AL18" s="119">
        <v>0.57512685098891991</v>
      </c>
      <c r="AM18" s="119">
        <v>0.46489614549963831</v>
      </c>
      <c r="AN18" s="144">
        <v>0.59952227645653755</v>
      </c>
      <c r="AO18" s="144">
        <v>0.60929075072583994</v>
      </c>
      <c r="AP18" s="144">
        <v>0.74040173949057786</v>
      </c>
      <c r="AQ18" s="144">
        <v>0.54882182720132278</v>
      </c>
      <c r="AR18" s="144">
        <v>0.48861334986567473</v>
      </c>
      <c r="AS18" s="144">
        <v>0.47105045492142267</v>
      </c>
      <c r="AT18" s="144">
        <v>0.56315953146055764</v>
      </c>
      <c r="AU18" s="144">
        <v>0.47258081173190125</v>
      </c>
      <c r="AV18" s="144">
        <v>0.41986400164846488</v>
      </c>
      <c r="AW18" s="144">
        <v>0.35837793330588719</v>
      </c>
      <c r="AX18" s="144">
        <v>0.47040132054059625</v>
      </c>
      <c r="AY18" s="144">
        <v>0.66110135344560395</v>
      </c>
      <c r="AZ18" s="119">
        <v>0.63300528333160677</v>
      </c>
      <c r="BA18" s="119">
        <v>0.64339915227954103</v>
      </c>
      <c r="BB18" s="119">
        <v>0.62285358772293653</v>
      </c>
      <c r="BC18" s="119">
        <v>0.42321779617175376</v>
      </c>
      <c r="BD18" s="119">
        <v>0.43871768355739404</v>
      </c>
      <c r="BE18" s="119">
        <v>0.748</v>
      </c>
      <c r="BF18" s="119">
        <v>0.47783999999999999</v>
      </c>
      <c r="BG18" s="248"/>
    </row>
    <row r="19" spans="2:59" ht="13.9">
      <c r="B19" s="61">
        <v>15</v>
      </c>
      <c r="C19" s="10" t="s">
        <v>110</v>
      </c>
      <c r="D19" s="119" t="s">
        <v>124</v>
      </c>
      <c r="E19" s="119" t="s">
        <v>124</v>
      </c>
      <c r="F19" s="119" t="s">
        <v>124</v>
      </c>
      <c r="G19" s="119" t="s">
        <v>124</v>
      </c>
      <c r="H19" s="119" t="s">
        <v>124</v>
      </c>
      <c r="I19" s="119" t="s">
        <v>124</v>
      </c>
      <c r="J19" s="119" t="s">
        <v>124</v>
      </c>
      <c r="K19" s="119" t="s">
        <v>124</v>
      </c>
      <c r="L19" s="119" t="s">
        <v>124</v>
      </c>
      <c r="M19" s="119" t="s">
        <v>124</v>
      </c>
      <c r="N19" s="119" t="s">
        <v>124</v>
      </c>
      <c r="O19" s="119" t="s">
        <v>124</v>
      </c>
      <c r="P19" s="119" t="s">
        <v>124</v>
      </c>
      <c r="Q19" s="119" t="s">
        <v>124</v>
      </c>
      <c r="R19" s="119" t="s">
        <v>124</v>
      </c>
      <c r="S19" s="119" t="s">
        <v>124</v>
      </c>
      <c r="T19" s="119" t="s">
        <v>124</v>
      </c>
      <c r="U19" s="119" t="s">
        <v>124</v>
      </c>
      <c r="V19" s="119" t="s">
        <v>124</v>
      </c>
      <c r="W19" s="119" t="s">
        <v>124</v>
      </c>
      <c r="X19" s="119" t="s">
        <v>124</v>
      </c>
      <c r="Y19" s="119" t="s">
        <v>124</v>
      </c>
      <c r="Z19" s="119" t="s">
        <v>124</v>
      </c>
      <c r="AA19" s="119" t="s">
        <v>124</v>
      </c>
      <c r="AB19" s="119" t="s">
        <v>124</v>
      </c>
      <c r="AC19" s="119" t="s">
        <v>124</v>
      </c>
      <c r="AD19" s="119" t="s">
        <v>124</v>
      </c>
      <c r="AE19" s="119" t="s">
        <v>124</v>
      </c>
      <c r="AF19" s="119" t="s">
        <v>124</v>
      </c>
      <c r="AG19" s="119" t="s">
        <v>124</v>
      </c>
      <c r="AH19" s="119" t="s">
        <v>124</v>
      </c>
      <c r="AI19" s="119" t="s">
        <v>124</v>
      </c>
      <c r="AJ19" s="119" t="s">
        <v>124</v>
      </c>
      <c r="AK19" s="119" t="s">
        <v>124</v>
      </c>
      <c r="AL19" s="119" t="s">
        <v>124</v>
      </c>
      <c r="AM19" s="119" t="s">
        <v>124</v>
      </c>
      <c r="AN19" s="119" t="s">
        <v>124</v>
      </c>
      <c r="AO19" s="119" t="s">
        <v>124</v>
      </c>
      <c r="AP19" s="119" t="s">
        <v>124</v>
      </c>
      <c r="AQ19" s="119" t="s">
        <v>124</v>
      </c>
      <c r="AR19" s="119" t="s">
        <v>124</v>
      </c>
      <c r="AS19" s="119" t="s">
        <v>124</v>
      </c>
      <c r="AT19" s="119" t="s">
        <v>124</v>
      </c>
      <c r="AU19" s="144">
        <v>28.83969844056594</v>
      </c>
      <c r="AV19" s="144">
        <v>20.564764063465894</v>
      </c>
      <c r="AW19" s="144">
        <v>23.48793742280774</v>
      </c>
      <c r="AX19" s="144">
        <v>25.930217682863923</v>
      </c>
      <c r="AY19" s="144">
        <v>28.627874780452526</v>
      </c>
      <c r="AZ19" s="119">
        <v>23.546669429192999</v>
      </c>
      <c r="BA19" s="119">
        <v>30.1926599813915</v>
      </c>
      <c r="BB19" s="119">
        <v>31.095810866860223</v>
      </c>
      <c r="BC19" s="119">
        <v>13.432343507501292</v>
      </c>
      <c r="BD19" s="119">
        <v>17.222750775594623</v>
      </c>
      <c r="BE19" s="119">
        <v>30.664680000000001</v>
      </c>
      <c r="BF19" s="119">
        <v>21.262080000000001</v>
      </c>
      <c r="BG19" s="248"/>
    </row>
    <row r="20" spans="2:59" ht="13.9">
      <c r="B20" s="61">
        <v>16</v>
      </c>
      <c r="C20" s="188" t="s">
        <v>111</v>
      </c>
      <c r="D20" s="119" t="s">
        <v>124</v>
      </c>
      <c r="E20" s="119" t="s">
        <v>124</v>
      </c>
      <c r="F20" s="119" t="s">
        <v>124</v>
      </c>
      <c r="G20" s="119" t="s">
        <v>124</v>
      </c>
      <c r="H20" s="119" t="s">
        <v>124</v>
      </c>
      <c r="I20" s="119" t="s">
        <v>124</v>
      </c>
      <c r="J20" s="119" t="s">
        <v>124</v>
      </c>
      <c r="K20" s="119" t="s">
        <v>124</v>
      </c>
      <c r="L20" s="119" t="s">
        <v>124</v>
      </c>
      <c r="M20" s="119" t="s">
        <v>124</v>
      </c>
      <c r="N20" s="119" t="s">
        <v>124</v>
      </c>
      <c r="O20" s="119" t="s">
        <v>124</v>
      </c>
      <c r="P20" s="119" t="s">
        <v>124</v>
      </c>
      <c r="Q20" s="119" t="s">
        <v>124</v>
      </c>
      <c r="R20" s="119" t="s">
        <v>124</v>
      </c>
      <c r="S20" s="119" t="s">
        <v>124</v>
      </c>
      <c r="T20" s="119" t="s">
        <v>124</v>
      </c>
      <c r="U20" s="119" t="s">
        <v>124</v>
      </c>
      <c r="V20" s="119" t="s">
        <v>124</v>
      </c>
      <c r="W20" s="119" t="s">
        <v>124</v>
      </c>
      <c r="X20" s="119" t="s">
        <v>124</v>
      </c>
      <c r="Y20" s="119" t="s">
        <v>124</v>
      </c>
      <c r="Z20" s="119" t="s">
        <v>124</v>
      </c>
      <c r="AA20" s="119" t="s">
        <v>124</v>
      </c>
      <c r="AB20" s="119" t="s">
        <v>124</v>
      </c>
      <c r="AC20" s="119" t="s">
        <v>124</v>
      </c>
      <c r="AD20" s="119" t="s">
        <v>124</v>
      </c>
      <c r="AE20" s="119" t="s">
        <v>124</v>
      </c>
      <c r="AF20" s="119" t="s">
        <v>124</v>
      </c>
      <c r="AG20" s="119" t="s">
        <v>124</v>
      </c>
      <c r="AH20" s="119" t="s">
        <v>124</v>
      </c>
      <c r="AI20" s="119" t="s">
        <v>124</v>
      </c>
      <c r="AJ20" s="119" t="s">
        <v>124</v>
      </c>
      <c r="AK20" s="119" t="s">
        <v>124</v>
      </c>
      <c r="AL20" s="119" t="s">
        <v>124</v>
      </c>
      <c r="AM20" s="119" t="s">
        <v>124</v>
      </c>
      <c r="AN20" s="119" t="s">
        <v>124</v>
      </c>
      <c r="AO20" s="119" t="s">
        <v>124</v>
      </c>
      <c r="AP20" s="119" t="s">
        <v>124</v>
      </c>
      <c r="AQ20" s="119" t="s">
        <v>124</v>
      </c>
      <c r="AR20" s="119" t="s">
        <v>124</v>
      </c>
      <c r="AS20" s="119" t="s">
        <v>124</v>
      </c>
      <c r="AT20" s="119" t="s">
        <v>124</v>
      </c>
      <c r="AU20" s="119" t="s">
        <v>124</v>
      </c>
      <c r="AV20" s="119" t="s">
        <v>124</v>
      </c>
      <c r="AW20" s="119" t="s">
        <v>124</v>
      </c>
      <c r="AX20" s="119" t="s">
        <v>124</v>
      </c>
      <c r="AY20" s="119" t="s">
        <v>124</v>
      </c>
      <c r="AZ20" s="119" t="s">
        <v>124</v>
      </c>
      <c r="BA20" s="119" t="s">
        <v>124</v>
      </c>
      <c r="BB20" s="119" t="s">
        <v>124</v>
      </c>
      <c r="BC20" s="119">
        <v>13.988618727366786</v>
      </c>
      <c r="BD20" s="119">
        <v>14.064115822130299</v>
      </c>
      <c r="BE20" s="119">
        <v>15.24</v>
      </c>
      <c r="BF20" s="119">
        <v>13.76</v>
      </c>
      <c r="BG20" s="248"/>
    </row>
    <row r="21" spans="2:59" ht="13.9">
      <c r="B21" s="61">
        <v>17</v>
      </c>
      <c r="C21" s="188" t="s">
        <v>112</v>
      </c>
      <c r="D21" s="119" t="s">
        <v>124</v>
      </c>
      <c r="E21" s="119" t="s">
        <v>124</v>
      </c>
      <c r="F21" s="119" t="s">
        <v>124</v>
      </c>
      <c r="G21" s="119" t="s">
        <v>124</v>
      </c>
      <c r="H21" s="119" t="s">
        <v>124</v>
      </c>
      <c r="I21" s="119" t="s">
        <v>124</v>
      </c>
      <c r="J21" s="119" t="s">
        <v>124</v>
      </c>
      <c r="K21" s="119" t="s">
        <v>124</v>
      </c>
      <c r="L21" s="119" t="s">
        <v>124</v>
      </c>
      <c r="M21" s="119" t="s">
        <v>124</v>
      </c>
      <c r="N21" s="119" t="s">
        <v>124</v>
      </c>
      <c r="O21" s="119" t="s">
        <v>124</v>
      </c>
      <c r="P21" s="119" t="s">
        <v>124</v>
      </c>
      <c r="Q21" s="119" t="s">
        <v>124</v>
      </c>
      <c r="R21" s="119" t="s">
        <v>124</v>
      </c>
      <c r="S21" s="119" t="s">
        <v>124</v>
      </c>
      <c r="T21" s="119" t="s">
        <v>124</v>
      </c>
      <c r="U21" s="119" t="s">
        <v>124</v>
      </c>
      <c r="V21" s="119" t="s">
        <v>124</v>
      </c>
      <c r="W21" s="119" t="s">
        <v>124</v>
      </c>
      <c r="X21" s="119" t="s">
        <v>124</v>
      </c>
      <c r="Y21" s="119" t="s">
        <v>124</v>
      </c>
      <c r="Z21" s="119" t="s">
        <v>124</v>
      </c>
      <c r="AA21" s="119" t="s">
        <v>124</v>
      </c>
      <c r="AB21" s="119" t="s">
        <v>124</v>
      </c>
      <c r="AC21" s="119" t="s">
        <v>124</v>
      </c>
      <c r="AD21" s="119" t="s">
        <v>124</v>
      </c>
      <c r="AE21" s="119" t="s">
        <v>124</v>
      </c>
      <c r="AF21" s="119" t="s">
        <v>124</v>
      </c>
      <c r="AG21" s="119" t="s">
        <v>124</v>
      </c>
      <c r="AH21" s="119" t="s">
        <v>124</v>
      </c>
      <c r="AI21" s="119" t="s">
        <v>124</v>
      </c>
      <c r="AJ21" s="119" t="s">
        <v>124</v>
      </c>
      <c r="AK21" s="119" t="s">
        <v>124</v>
      </c>
      <c r="AL21" s="119" t="s">
        <v>124</v>
      </c>
      <c r="AM21" s="119" t="s">
        <v>124</v>
      </c>
      <c r="AN21" s="119" t="s">
        <v>124</v>
      </c>
      <c r="AO21" s="119" t="s">
        <v>124</v>
      </c>
      <c r="AP21" s="119" t="s">
        <v>124</v>
      </c>
      <c r="AQ21" s="119" t="s">
        <v>124</v>
      </c>
      <c r="AR21" s="119" t="s">
        <v>124</v>
      </c>
      <c r="AS21" s="119" t="s">
        <v>124</v>
      </c>
      <c r="AT21" s="119" t="s">
        <v>124</v>
      </c>
      <c r="AU21" s="119" t="s">
        <v>124</v>
      </c>
      <c r="AV21" s="119" t="s">
        <v>124</v>
      </c>
      <c r="AW21" s="119" t="s">
        <v>124</v>
      </c>
      <c r="AX21" s="119" t="s">
        <v>124</v>
      </c>
      <c r="AY21" s="119" t="s">
        <v>124</v>
      </c>
      <c r="AZ21" s="119" t="s">
        <v>124</v>
      </c>
      <c r="BA21" s="119" t="s">
        <v>124</v>
      </c>
      <c r="BB21" s="119" t="s">
        <v>124</v>
      </c>
      <c r="BC21" s="119">
        <v>9.891360579410243</v>
      </c>
      <c r="BD21" s="119">
        <v>9.7207859358841784</v>
      </c>
      <c r="BE21" s="119">
        <v>10.32</v>
      </c>
      <c r="BF21" s="119">
        <v>9.7200000000000006</v>
      </c>
      <c r="BG21" s="248"/>
    </row>
    <row r="22" spans="2:59" ht="13.9">
      <c r="B22" s="61">
        <v>18</v>
      </c>
      <c r="C22" s="60" t="s">
        <v>291</v>
      </c>
      <c r="D22" s="119" t="s">
        <v>124</v>
      </c>
      <c r="E22" s="119" t="s">
        <v>124</v>
      </c>
      <c r="F22" s="119" t="s">
        <v>124</v>
      </c>
      <c r="G22" s="119" t="s">
        <v>124</v>
      </c>
      <c r="H22" s="119" t="s">
        <v>124</v>
      </c>
      <c r="I22" s="119" t="s">
        <v>124</v>
      </c>
      <c r="J22" s="119" t="s">
        <v>124</v>
      </c>
      <c r="K22" s="119" t="s">
        <v>124</v>
      </c>
      <c r="L22" s="119" t="s">
        <v>124</v>
      </c>
      <c r="M22" s="119" t="s">
        <v>124</v>
      </c>
      <c r="N22" s="119" t="s">
        <v>124</v>
      </c>
      <c r="O22" s="119" t="s">
        <v>124</v>
      </c>
      <c r="P22" s="119" t="s">
        <v>124</v>
      </c>
      <c r="Q22" s="119" t="s">
        <v>124</v>
      </c>
      <c r="R22" s="119" t="s">
        <v>124</v>
      </c>
      <c r="S22" s="119" t="s">
        <v>124</v>
      </c>
      <c r="T22" s="119" t="s">
        <v>124</v>
      </c>
      <c r="U22" s="119" t="s">
        <v>124</v>
      </c>
      <c r="V22" s="119" t="s">
        <v>124</v>
      </c>
      <c r="W22" s="119" t="s">
        <v>124</v>
      </c>
      <c r="X22" s="119" t="s">
        <v>124</v>
      </c>
      <c r="Y22" s="119" t="s">
        <v>124</v>
      </c>
      <c r="Z22" s="119" t="s">
        <v>124</v>
      </c>
      <c r="AA22" s="119" t="s">
        <v>124</v>
      </c>
      <c r="AB22" s="119" t="s">
        <v>124</v>
      </c>
      <c r="AC22" s="119" t="s">
        <v>124</v>
      </c>
      <c r="AD22" s="119" t="s">
        <v>124</v>
      </c>
      <c r="AE22" s="119" t="s">
        <v>124</v>
      </c>
      <c r="AF22" s="119" t="s">
        <v>124</v>
      </c>
      <c r="AG22" s="119" t="s">
        <v>124</v>
      </c>
      <c r="AH22" s="119" t="s">
        <v>124</v>
      </c>
      <c r="AI22" s="119" t="s">
        <v>124</v>
      </c>
      <c r="AJ22" s="119" t="s">
        <v>124</v>
      </c>
      <c r="AK22" s="119" t="s">
        <v>124</v>
      </c>
      <c r="AL22" s="119" t="s">
        <v>124</v>
      </c>
      <c r="AM22" s="119" t="s">
        <v>124</v>
      </c>
      <c r="AN22" s="119" t="s">
        <v>124</v>
      </c>
      <c r="AO22" s="119" t="s">
        <v>124</v>
      </c>
      <c r="AP22" s="119" t="s">
        <v>124</v>
      </c>
      <c r="AQ22" s="119" t="s">
        <v>124</v>
      </c>
      <c r="AR22" s="119" t="s">
        <v>124</v>
      </c>
      <c r="AS22" s="119" t="s">
        <v>124</v>
      </c>
      <c r="AT22" s="119" t="s">
        <v>124</v>
      </c>
      <c r="AU22" s="119" t="s">
        <v>124</v>
      </c>
      <c r="AV22" s="119" t="s">
        <v>124</v>
      </c>
      <c r="AW22" s="119" t="s">
        <v>124</v>
      </c>
      <c r="AX22" s="119" t="s">
        <v>124</v>
      </c>
      <c r="AY22" s="119" t="s">
        <v>124</v>
      </c>
      <c r="AZ22" s="119" t="s">
        <v>124</v>
      </c>
      <c r="BA22" s="119" t="s">
        <v>124</v>
      </c>
      <c r="BB22" s="119" t="s">
        <v>124</v>
      </c>
      <c r="BC22" s="119" t="s">
        <v>124</v>
      </c>
      <c r="BD22" s="119" t="s">
        <v>124</v>
      </c>
      <c r="BE22" s="119" t="s">
        <v>124</v>
      </c>
      <c r="BF22" s="119" t="s">
        <v>124</v>
      </c>
      <c r="BG22" s="248"/>
    </row>
    <row r="23" spans="2:59" ht="13.9">
      <c r="B23" s="61"/>
      <c r="C23" s="159" t="s">
        <v>191</v>
      </c>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row>
    <row r="27" spans="2:59" ht="13.9">
      <c r="B27" s="147" t="s">
        <v>395</v>
      </c>
    </row>
    <row r="28" spans="2:59" ht="13.9">
      <c r="B28" s="149" t="s">
        <v>2</v>
      </c>
      <c r="C28" s="149" t="s">
        <v>82</v>
      </c>
      <c r="D28" s="150" t="s">
        <v>352</v>
      </c>
      <c r="E28" s="150" t="s">
        <v>353</v>
      </c>
      <c r="F28" s="150" t="s">
        <v>354</v>
      </c>
      <c r="G28" s="150" t="s">
        <v>355</v>
      </c>
      <c r="H28" s="150" t="s">
        <v>356</v>
      </c>
      <c r="I28" s="150" t="s">
        <v>357</v>
      </c>
      <c r="J28" s="150" t="s">
        <v>358</v>
      </c>
      <c r="K28" s="150" t="s">
        <v>359</v>
      </c>
      <c r="L28" s="150" t="s">
        <v>360</v>
      </c>
      <c r="M28" s="150" t="s">
        <v>361</v>
      </c>
      <c r="N28" s="150" t="s">
        <v>362</v>
      </c>
      <c r="O28" s="150" t="s">
        <v>363</v>
      </c>
      <c r="P28" s="150" t="s">
        <v>364</v>
      </c>
      <c r="Q28" s="150" t="s">
        <v>365</v>
      </c>
      <c r="R28" s="150" t="s">
        <v>366</v>
      </c>
      <c r="S28" s="150" t="s">
        <v>367</v>
      </c>
      <c r="T28" s="150" t="s">
        <v>368</v>
      </c>
      <c r="U28" s="150" t="s">
        <v>369</v>
      </c>
      <c r="V28" s="150" t="s">
        <v>370</v>
      </c>
      <c r="W28" s="150" t="s">
        <v>371</v>
      </c>
      <c r="X28" s="150" t="s">
        <v>372</v>
      </c>
      <c r="Y28" s="150" t="s">
        <v>373</v>
      </c>
      <c r="Z28" s="150" t="s">
        <v>374</v>
      </c>
      <c r="AA28" s="150" t="s">
        <v>375</v>
      </c>
      <c r="AB28" s="150" t="s">
        <v>376</v>
      </c>
      <c r="AC28" s="150" t="s">
        <v>377</v>
      </c>
      <c r="AD28" s="150" t="s">
        <v>378</v>
      </c>
      <c r="AE28" s="150" t="s">
        <v>379</v>
      </c>
      <c r="AF28" s="150" t="s">
        <v>380</v>
      </c>
      <c r="AG28" s="150" t="s">
        <v>381</v>
      </c>
      <c r="AH28" s="150" t="s">
        <v>382</v>
      </c>
      <c r="AI28" s="150" t="s">
        <v>383</v>
      </c>
      <c r="AJ28" s="150" t="s">
        <v>384</v>
      </c>
      <c r="AK28" s="150" t="s">
        <v>385</v>
      </c>
      <c r="AL28" s="150" t="s">
        <v>386</v>
      </c>
      <c r="AM28" s="150" t="s">
        <v>387</v>
      </c>
      <c r="AN28" s="161" t="s">
        <v>388</v>
      </c>
      <c r="AO28" s="161" t="s">
        <v>389</v>
      </c>
      <c r="AP28" s="161" t="s">
        <v>390</v>
      </c>
      <c r="AQ28" s="161" t="s">
        <v>391</v>
      </c>
      <c r="AR28" s="161" t="s">
        <v>392</v>
      </c>
      <c r="AS28" s="161" t="s">
        <v>393</v>
      </c>
      <c r="AT28" s="161" t="s">
        <v>394</v>
      </c>
      <c r="AU28" s="161" t="s">
        <v>338</v>
      </c>
      <c r="AV28" s="161" t="s">
        <v>339</v>
      </c>
      <c r="AW28" s="161" t="s">
        <v>340</v>
      </c>
      <c r="AX28" s="161" t="s">
        <v>341</v>
      </c>
      <c r="AY28" s="161" t="s">
        <v>342</v>
      </c>
      <c r="AZ28" s="151" t="s">
        <v>343</v>
      </c>
      <c r="BA28" s="151" t="s">
        <v>344</v>
      </c>
      <c r="BB28" s="151" t="s">
        <v>345</v>
      </c>
      <c r="BC28" s="151" t="s">
        <v>346</v>
      </c>
      <c r="BD28" s="151" t="s">
        <v>347</v>
      </c>
      <c r="BE28" s="151" t="s">
        <v>348</v>
      </c>
      <c r="BF28" s="151" t="s">
        <v>349</v>
      </c>
      <c r="BG28" s="37"/>
    </row>
    <row r="29" spans="2:59" ht="13.9">
      <c r="B29" s="61">
        <v>1</v>
      </c>
      <c r="C29" s="10" t="s">
        <v>96</v>
      </c>
      <c r="D29" s="144">
        <v>15904.49</v>
      </c>
      <c r="E29" s="144">
        <v>18061.72</v>
      </c>
      <c r="F29" s="144">
        <v>16146.15</v>
      </c>
      <c r="G29" s="144">
        <v>14643.49</v>
      </c>
      <c r="H29" s="144">
        <v>15047</v>
      </c>
      <c r="I29" s="144">
        <v>16007.970000000001</v>
      </c>
      <c r="J29" s="144">
        <v>16701.89</v>
      </c>
      <c r="K29" s="144">
        <v>18858.809999999998</v>
      </c>
      <c r="L29" s="144">
        <v>20066.150000000001</v>
      </c>
      <c r="M29" s="144">
        <v>20098.859999999997</v>
      </c>
      <c r="N29" s="144">
        <v>19999.21875</v>
      </c>
      <c r="O29" s="144">
        <v>21165.919999999995</v>
      </c>
      <c r="P29" s="162">
        <v>21464.2075</v>
      </c>
      <c r="Q29" s="162">
        <v>19320.980000000003</v>
      </c>
      <c r="R29" s="162">
        <v>17296.16375</v>
      </c>
      <c r="S29" s="162">
        <v>19588.18</v>
      </c>
      <c r="T29" s="162">
        <v>19813.572499999998</v>
      </c>
      <c r="U29" s="162">
        <v>17783.115000000002</v>
      </c>
      <c r="V29" s="162">
        <v>18483.202500000003</v>
      </c>
      <c r="W29" s="162">
        <v>20445.297500000001</v>
      </c>
      <c r="X29" s="162">
        <v>20973.487500000003</v>
      </c>
      <c r="Y29" s="162">
        <v>21932.4575</v>
      </c>
      <c r="Z29" s="162">
        <v>22527.239999999998</v>
      </c>
      <c r="AA29" s="162">
        <v>23618.050000000003</v>
      </c>
      <c r="AB29" s="163">
        <v>22296.205000000002</v>
      </c>
      <c r="AC29" s="163">
        <v>23327.36375</v>
      </c>
      <c r="AD29" s="163">
        <v>22118.366249999999</v>
      </c>
      <c r="AE29" s="163">
        <v>18612.501250000001</v>
      </c>
      <c r="AF29" s="163">
        <v>20164.962500000001</v>
      </c>
      <c r="AG29" s="163">
        <v>18416.77</v>
      </c>
      <c r="AH29" s="163">
        <v>18582.599999999999</v>
      </c>
      <c r="AI29" s="163">
        <v>21750.27</v>
      </c>
      <c r="AJ29" s="163">
        <v>22985.691380200267</v>
      </c>
      <c r="AK29" s="163">
        <v>23483.031090008255</v>
      </c>
      <c r="AL29" s="163">
        <v>23732.740271305785</v>
      </c>
      <c r="AM29" s="163">
        <v>23759.791712307531</v>
      </c>
      <c r="AN29" s="119">
        <v>23777.580184858241</v>
      </c>
      <c r="AO29" s="119">
        <v>23123.656076316882</v>
      </c>
      <c r="AP29" s="119">
        <v>24368.590267136053</v>
      </c>
      <c r="AQ29" s="119">
        <v>20120.247540305911</v>
      </c>
      <c r="AR29" s="119">
        <v>22853.484232279399</v>
      </c>
      <c r="AS29" s="119">
        <v>23269.12758478081</v>
      </c>
      <c r="AT29" s="119">
        <v>23833.656722297088</v>
      </c>
      <c r="AU29" s="119">
        <v>23848.318868119382</v>
      </c>
      <c r="AV29" s="119">
        <v>23228.659798063054</v>
      </c>
      <c r="AW29" s="119">
        <v>23925.065047344586</v>
      </c>
      <c r="AX29" s="119">
        <v>24139.635406994734</v>
      </c>
      <c r="AY29" s="119">
        <v>23955.496518235355</v>
      </c>
      <c r="AZ29" s="119">
        <v>23828.224759142235</v>
      </c>
      <c r="BA29" s="119">
        <v>23611.241600330814</v>
      </c>
      <c r="BB29" s="119">
        <v>23328.901451679802</v>
      </c>
      <c r="BC29" s="119">
        <v>20533.157620279359</v>
      </c>
      <c r="BD29" s="119">
        <v>20668.302254395036</v>
      </c>
      <c r="BE29" s="164">
        <v>20104.804599999999</v>
      </c>
      <c r="BF29" s="164">
        <v>20904.417119999998</v>
      </c>
      <c r="BG29" s="248"/>
    </row>
    <row r="30" spans="2:59" ht="13.9">
      <c r="B30" s="61">
        <v>2</v>
      </c>
      <c r="C30" s="10" t="s">
        <v>97</v>
      </c>
      <c r="D30" s="144">
        <v>584.6006420436895</v>
      </c>
      <c r="E30" s="144">
        <v>665.38784771463179</v>
      </c>
      <c r="F30" s="144">
        <v>671.26689818513682</v>
      </c>
      <c r="G30" s="144">
        <v>647.8822848873441</v>
      </c>
      <c r="H30" s="144">
        <v>657.45362608020048</v>
      </c>
      <c r="I30" s="144">
        <v>705.65600878215128</v>
      </c>
      <c r="J30" s="144">
        <v>718.56593457994472</v>
      </c>
      <c r="K30" s="144">
        <v>711.72938292782737</v>
      </c>
      <c r="L30" s="144">
        <v>679.9250526335768</v>
      </c>
      <c r="M30" s="144">
        <v>635.58015121352685</v>
      </c>
      <c r="N30" s="144">
        <v>662.48478821401159</v>
      </c>
      <c r="O30" s="144">
        <v>723.64035440176588</v>
      </c>
      <c r="P30" s="162">
        <v>717.8404901745298</v>
      </c>
      <c r="Q30" s="162">
        <v>702.21883161109383</v>
      </c>
      <c r="R30" s="162">
        <v>707.90656038261318</v>
      </c>
      <c r="S30" s="162">
        <v>724.12134013212858</v>
      </c>
      <c r="T30" s="162">
        <v>737.35875005293212</v>
      </c>
      <c r="U30" s="162">
        <v>787.05370728545142</v>
      </c>
      <c r="V30" s="162">
        <v>861.54846746531609</v>
      </c>
      <c r="W30" s="162">
        <v>836.00162426808345</v>
      </c>
      <c r="X30" s="162">
        <v>751.78090149941022</v>
      </c>
      <c r="Y30" s="162">
        <v>681.31970913012196</v>
      </c>
      <c r="Z30" s="162">
        <v>735.58792827262516</v>
      </c>
      <c r="AA30" s="162">
        <v>883.38510105728892</v>
      </c>
      <c r="AB30" s="163">
        <v>974.58113184652905</v>
      </c>
      <c r="AC30" s="163">
        <v>958.08620983217327</v>
      </c>
      <c r="AD30" s="163">
        <v>963.29383348091847</v>
      </c>
      <c r="AE30" s="163">
        <v>866.52613283750213</v>
      </c>
      <c r="AF30" s="163">
        <v>875.5153958787912</v>
      </c>
      <c r="AG30" s="163">
        <v>876.69254163666676</v>
      </c>
      <c r="AH30" s="163">
        <v>894.52480257579487</v>
      </c>
      <c r="AI30" s="163">
        <v>799.33138750849093</v>
      </c>
      <c r="AJ30" s="163">
        <v>821.48277072365022</v>
      </c>
      <c r="AK30" s="163">
        <v>729.55235342691981</v>
      </c>
      <c r="AL30" s="163">
        <v>794.3857098477788</v>
      </c>
      <c r="AM30" s="163">
        <v>871.59813991939654</v>
      </c>
      <c r="AN30" s="119">
        <v>1039.7046006854296</v>
      </c>
      <c r="AO30" s="119">
        <v>1021.3717959352965</v>
      </c>
      <c r="AP30" s="119">
        <v>982.66639055705116</v>
      </c>
      <c r="AQ30" s="119">
        <v>893.60421661843736</v>
      </c>
      <c r="AR30" s="119">
        <v>837.20074395536267</v>
      </c>
      <c r="AS30" s="119">
        <v>888.58358147229114</v>
      </c>
      <c r="AT30" s="119">
        <v>953.03107701876229</v>
      </c>
      <c r="AU30" s="119">
        <v>889.09147991324994</v>
      </c>
      <c r="AV30" s="119">
        <v>826.87063671955491</v>
      </c>
      <c r="AW30" s="119">
        <v>852.9809798270893</v>
      </c>
      <c r="AX30" s="119">
        <v>819.84500154750845</v>
      </c>
      <c r="AY30" s="119">
        <v>898.53612976547163</v>
      </c>
      <c r="AZ30" s="119">
        <v>1025.8300631927898</v>
      </c>
      <c r="BA30" s="119">
        <v>1041.4704021503153</v>
      </c>
      <c r="BB30" s="119">
        <v>1056.4356698465367</v>
      </c>
      <c r="BC30" s="119">
        <v>1005.9826176927056</v>
      </c>
      <c r="BD30" s="119">
        <v>990.21617373319543</v>
      </c>
      <c r="BE30" s="164">
        <v>939.81575999999995</v>
      </c>
      <c r="BF30" s="164">
        <v>951.42520000000002</v>
      </c>
      <c r="BG30" s="248"/>
    </row>
    <row r="31" spans="2:59" ht="13.9">
      <c r="B31" s="61">
        <v>3</v>
      </c>
      <c r="C31" s="10" t="s">
        <v>98</v>
      </c>
      <c r="D31" s="144">
        <v>1365.4404945904173</v>
      </c>
      <c r="E31" s="144">
        <v>1400.1132969409828</v>
      </c>
      <c r="F31" s="144">
        <v>1378.5163082621668</v>
      </c>
      <c r="G31" s="144">
        <v>1074.6069263179529</v>
      </c>
      <c r="H31" s="144">
        <v>1081.9258496395469</v>
      </c>
      <c r="I31" s="144">
        <v>1272.4688433412298</v>
      </c>
      <c r="J31" s="144">
        <v>1326.0434917035966</v>
      </c>
      <c r="K31" s="144">
        <v>1225.653964984552</v>
      </c>
      <c r="L31" s="144">
        <v>1255.0760847213655</v>
      </c>
      <c r="M31" s="144">
        <v>1290.1443298969073</v>
      </c>
      <c r="N31" s="144">
        <v>1298.3902590031989</v>
      </c>
      <c r="O31" s="144">
        <v>1444.8165374677001</v>
      </c>
      <c r="P31" s="92">
        <v>1408.1078289609584</v>
      </c>
      <c r="Q31" s="92">
        <v>1463.6260681560793</v>
      </c>
      <c r="R31" s="92">
        <v>1328.5537061924947</v>
      </c>
      <c r="S31" s="92">
        <v>1414.8282284768211</v>
      </c>
      <c r="T31" s="92">
        <v>1362.4430641821946</v>
      </c>
      <c r="U31" s="92">
        <v>1355.6967255448817</v>
      </c>
      <c r="V31" s="92">
        <v>1545.4273327828241</v>
      </c>
      <c r="W31" s="92">
        <v>1475.0754794803051</v>
      </c>
      <c r="X31" s="92">
        <v>1293.887731958763</v>
      </c>
      <c r="Y31" s="92">
        <v>1279.5881351034122</v>
      </c>
      <c r="Z31" s="92">
        <v>1240.2960103666283</v>
      </c>
      <c r="AA31" s="92">
        <v>1582.7993672211842</v>
      </c>
      <c r="AB31" s="163">
        <v>1828.4322148951728</v>
      </c>
      <c r="AC31" s="163">
        <v>1660.1592872046322</v>
      </c>
      <c r="AD31" s="163">
        <v>1725.6419094403834</v>
      </c>
      <c r="AE31" s="163">
        <v>1509.1561789814284</v>
      </c>
      <c r="AF31" s="163">
        <v>1535.4586870987782</v>
      </c>
      <c r="AG31" s="163">
        <v>1598.3528315560618</v>
      </c>
      <c r="AH31" s="163">
        <v>1603.3133773740713</v>
      </c>
      <c r="AI31" s="163">
        <v>1437.2966556564822</v>
      </c>
      <c r="AJ31" s="163">
        <v>1544.0171363683287</v>
      </c>
      <c r="AK31" s="163">
        <v>1342.3689099917424</v>
      </c>
      <c r="AL31" s="163">
        <v>1508.9063684374028</v>
      </c>
      <c r="AM31" s="163">
        <v>1606.1047018704144</v>
      </c>
      <c r="AN31" s="119">
        <v>1826.1591027105619</v>
      </c>
      <c r="AO31" s="119">
        <v>1895.030817088345</v>
      </c>
      <c r="AP31" s="119">
        <v>1959.5916752950923</v>
      </c>
      <c r="AQ31" s="119">
        <v>1590.5974369574203</v>
      </c>
      <c r="AR31" s="119">
        <v>1666.4375284149619</v>
      </c>
      <c r="AS31" s="119">
        <v>1654.2988420181969</v>
      </c>
      <c r="AT31" s="119">
        <v>1865.9832486783455</v>
      </c>
      <c r="AU31" s="119">
        <v>1632.6191882680987</v>
      </c>
      <c r="AV31" s="119">
        <v>1481.1166701009686</v>
      </c>
      <c r="AW31" s="119">
        <v>1500.4974475092629</v>
      </c>
      <c r="AX31" s="119">
        <v>1522.1389456308677</v>
      </c>
      <c r="AY31" s="119">
        <v>1634.8151668560802</v>
      </c>
      <c r="AZ31" s="119">
        <v>1879.8097586242618</v>
      </c>
      <c r="BA31" s="119">
        <v>2077.4941383231676</v>
      </c>
      <c r="BB31" s="119">
        <v>2049.4456242223141</v>
      </c>
      <c r="BC31" s="119">
        <v>1737.6124987066735</v>
      </c>
      <c r="BD31" s="119">
        <v>1732.4276732161325</v>
      </c>
      <c r="BE31" s="164">
        <v>1673.63744</v>
      </c>
      <c r="BF31" s="164">
        <v>1813.7166</v>
      </c>
      <c r="BG31" s="248"/>
    </row>
    <row r="32" spans="2:59" ht="13.9">
      <c r="B32" s="61">
        <v>4</v>
      </c>
      <c r="C32" s="10" t="s">
        <v>99</v>
      </c>
      <c r="D32" s="144">
        <v>567.6683936115403</v>
      </c>
      <c r="E32" s="144">
        <v>583.63782881862187</v>
      </c>
      <c r="F32" s="144">
        <v>588.65724045683703</v>
      </c>
      <c r="G32" s="144">
        <v>579.07269961977181</v>
      </c>
      <c r="H32" s="144">
        <v>579.23378372811521</v>
      </c>
      <c r="I32" s="144">
        <v>667.30013801627354</v>
      </c>
      <c r="J32" s="144">
        <v>695.39292589920649</v>
      </c>
      <c r="K32" s="144">
        <v>658.32556127703401</v>
      </c>
      <c r="L32" s="144">
        <v>661.61053259304947</v>
      </c>
      <c r="M32" s="144">
        <v>647.52837505154639</v>
      </c>
      <c r="N32" s="144">
        <v>657.91704055309049</v>
      </c>
      <c r="O32" s="144">
        <v>746.77248992248064</v>
      </c>
      <c r="P32" s="92">
        <v>714.95681057632726</v>
      </c>
      <c r="Q32" s="92">
        <v>674.38309893956557</v>
      </c>
      <c r="R32" s="92">
        <v>707.82816913056956</v>
      </c>
      <c r="S32" s="92">
        <v>741.23237996688738</v>
      </c>
      <c r="T32" s="92">
        <v>720.10161490683231</v>
      </c>
      <c r="U32" s="92">
        <v>714.49533213511006</v>
      </c>
      <c r="V32" s="92">
        <v>803.59061622625927</v>
      </c>
      <c r="W32" s="92">
        <v>784.58420292843891</v>
      </c>
      <c r="X32" s="92">
        <v>672.4463546391753</v>
      </c>
      <c r="Y32" s="92">
        <v>634.29032338051456</v>
      </c>
      <c r="Z32" s="92">
        <v>637.44230984166393</v>
      </c>
      <c r="AA32" s="92">
        <v>799.98945277749033</v>
      </c>
      <c r="AB32" s="163">
        <v>921.33713102019681</v>
      </c>
      <c r="AC32" s="163">
        <v>872.12002069322295</v>
      </c>
      <c r="AD32" s="163">
        <v>896.3366439064763</v>
      </c>
      <c r="AE32" s="163">
        <v>771.35017601987988</v>
      </c>
      <c r="AF32" s="163">
        <v>791.82335887347278</v>
      </c>
      <c r="AG32" s="163">
        <v>800.28988508127134</v>
      </c>
      <c r="AH32" s="163">
        <v>832.98926507018996</v>
      </c>
      <c r="AI32" s="163">
        <v>734.92981007431877</v>
      </c>
      <c r="AJ32" s="163">
        <v>768.77402704655731</v>
      </c>
      <c r="AK32" s="163">
        <v>655.36866226259292</v>
      </c>
      <c r="AL32" s="163">
        <v>734.31529460494983</v>
      </c>
      <c r="AM32" s="163">
        <v>814.29500878371402</v>
      </c>
      <c r="AN32" s="119">
        <v>903.2234707653962</v>
      </c>
      <c r="AO32" s="119">
        <v>947.67917876399827</v>
      </c>
      <c r="AP32" s="119">
        <v>981.39324911990059</v>
      </c>
      <c r="AQ32" s="119">
        <v>813.41252583712276</v>
      </c>
      <c r="AR32" s="119">
        <v>812.33477991320524</v>
      </c>
      <c r="AS32" s="119">
        <v>828.43296112489668</v>
      </c>
      <c r="AT32" s="119">
        <v>915.45085518814142</v>
      </c>
      <c r="AU32" s="119">
        <v>838.60530827222965</v>
      </c>
      <c r="AV32" s="119">
        <v>761.62719967030705</v>
      </c>
      <c r="AW32" s="119">
        <v>737.62622478386163</v>
      </c>
      <c r="AX32" s="119">
        <v>758.47126792530685</v>
      </c>
      <c r="AY32" s="119">
        <v>810.57915073871277</v>
      </c>
      <c r="AZ32" s="119">
        <v>926.50757277530295</v>
      </c>
      <c r="BA32" s="119">
        <v>996.36691822598982</v>
      </c>
      <c r="BB32" s="119">
        <v>995.74458730817082</v>
      </c>
      <c r="BC32" s="119">
        <v>891.62938437661671</v>
      </c>
      <c r="BD32" s="119">
        <v>844.90448810754913</v>
      </c>
      <c r="BE32" s="164">
        <v>818.90247999999997</v>
      </c>
      <c r="BF32" s="164">
        <v>892.16312000000005</v>
      </c>
      <c r="BG32" s="248"/>
    </row>
    <row r="33" spans="2:59" ht="13.9">
      <c r="B33" s="61">
        <v>5</v>
      </c>
      <c r="C33" s="10" t="s">
        <v>100</v>
      </c>
      <c r="D33" s="144">
        <v>114</v>
      </c>
      <c r="E33" s="144">
        <v>187</v>
      </c>
      <c r="F33" s="144">
        <v>193</v>
      </c>
      <c r="G33" s="144">
        <v>184</v>
      </c>
      <c r="H33" s="144">
        <v>199</v>
      </c>
      <c r="I33" s="144">
        <v>234</v>
      </c>
      <c r="J33" s="144">
        <v>273</v>
      </c>
      <c r="K33" s="144">
        <v>303</v>
      </c>
      <c r="L33" s="144">
        <v>331</v>
      </c>
      <c r="M33" s="144">
        <v>342</v>
      </c>
      <c r="N33" s="144">
        <v>354</v>
      </c>
      <c r="O33" s="144">
        <v>367</v>
      </c>
      <c r="P33" s="92">
        <v>354</v>
      </c>
      <c r="Q33" s="92">
        <v>351</v>
      </c>
      <c r="R33" s="92">
        <v>354</v>
      </c>
      <c r="S33" s="92">
        <v>366</v>
      </c>
      <c r="T33" s="92">
        <v>389</v>
      </c>
      <c r="U33" s="92">
        <v>371</v>
      </c>
      <c r="V33" s="92">
        <v>376</v>
      </c>
      <c r="W33" s="92">
        <v>391</v>
      </c>
      <c r="X33" s="92">
        <v>381</v>
      </c>
      <c r="Y33" s="92">
        <v>392</v>
      </c>
      <c r="Z33" s="92">
        <v>385</v>
      </c>
      <c r="AA33" s="92">
        <v>421</v>
      </c>
      <c r="AB33" s="163">
        <v>433</v>
      </c>
      <c r="AC33" s="163">
        <v>448</v>
      </c>
      <c r="AD33" s="163">
        <v>445</v>
      </c>
      <c r="AE33" s="163">
        <v>416</v>
      </c>
      <c r="AF33" s="163">
        <v>425</v>
      </c>
      <c r="AG33" s="163">
        <v>436.42</v>
      </c>
      <c r="AH33" s="163">
        <v>440.66</v>
      </c>
      <c r="AI33" s="163">
        <v>447.08</v>
      </c>
      <c r="AJ33" s="163">
        <v>487.54334675338077</v>
      </c>
      <c r="AK33" s="163">
        <v>495.79009083402144</v>
      </c>
      <c r="AL33" s="163">
        <v>1225.4077663870767</v>
      </c>
      <c r="AM33" s="163">
        <v>513.98020047535397</v>
      </c>
      <c r="AN33" s="119">
        <v>512.71238965624673</v>
      </c>
      <c r="AO33" s="119">
        <v>505.71621733720445</v>
      </c>
      <c r="AP33" s="119">
        <v>508.91604887140198</v>
      </c>
      <c r="AQ33" s="119">
        <v>470.78412567176514</v>
      </c>
      <c r="AR33" s="119">
        <v>503.25220086794792</v>
      </c>
      <c r="AS33" s="119">
        <v>509.0507030603805</v>
      </c>
      <c r="AT33" s="119">
        <v>503.21086348087488</v>
      </c>
      <c r="AU33" s="119">
        <v>506.25058349685014</v>
      </c>
      <c r="AV33" s="119">
        <v>520.76785493509169</v>
      </c>
      <c r="AW33" s="119">
        <v>522.60098806093038</v>
      </c>
      <c r="AX33" s="119">
        <v>532.38374084390796</v>
      </c>
      <c r="AY33" s="119">
        <v>525.96945965492307</v>
      </c>
      <c r="AZ33" s="119">
        <v>538.95012949342174</v>
      </c>
      <c r="BA33" s="119">
        <v>568.87067093972905</v>
      </c>
      <c r="BB33" s="119">
        <v>573.17897138116962</v>
      </c>
      <c r="BC33" s="119">
        <v>536.00455250905327</v>
      </c>
      <c r="BD33" s="119">
        <v>558.47023784901751</v>
      </c>
      <c r="BE33" s="164">
        <v>544.8288</v>
      </c>
      <c r="BF33" s="164">
        <v>562.16368</v>
      </c>
      <c r="BG33" s="248"/>
    </row>
    <row r="34" spans="2:59" ht="13.9">
      <c r="B34" s="61">
        <v>6</v>
      </c>
      <c r="C34" s="10" t="s">
        <v>101</v>
      </c>
      <c r="D34" s="144">
        <v>6.8212261720762495</v>
      </c>
      <c r="E34" s="144">
        <v>7.5764754351632506</v>
      </c>
      <c r="F34" s="144">
        <v>7.9720135816442026</v>
      </c>
      <c r="G34" s="144">
        <v>6.6180248689754402</v>
      </c>
      <c r="H34" s="144">
        <v>6.4304840370751801</v>
      </c>
      <c r="I34" s="144">
        <v>6.8596147904006592</v>
      </c>
      <c r="J34" s="144">
        <v>7.5234463567968666</v>
      </c>
      <c r="K34" s="144">
        <v>7.8269824922760041</v>
      </c>
      <c r="L34" s="144">
        <v>7.2177668106107333</v>
      </c>
      <c r="M34" s="144">
        <v>7.2329896907216495</v>
      </c>
      <c r="N34" s="144">
        <v>7.0250748116809412</v>
      </c>
      <c r="O34" s="144">
        <v>7.6217054263565887</v>
      </c>
      <c r="P34" s="91">
        <v>7.3455897541830204</v>
      </c>
      <c r="Q34" s="91">
        <v>6.6570575517347885</v>
      </c>
      <c r="R34" s="91">
        <v>7.0174713118991008</v>
      </c>
      <c r="S34" s="91">
        <v>6.5894039735099339</v>
      </c>
      <c r="T34" s="91">
        <v>6.7950310559006217</v>
      </c>
      <c r="U34" s="91">
        <v>6.900113624625555</v>
      </c>
      <c r="V34" s="91">
        <v>7.4834847233691164</v>
      </c>
      <c r="W34" s="91">
        <v>7.9975252629408127</v>
      </c>
      <c r="X34" s="91">
        <v>7.2783505154639174</v>
      </c>
      <c r="Y34" s="91">
        <v>6.6845748527740465</v>
      </c>
      <c r="Z34" s="91">
        <v>7.0371520231812061</v>
      </c>
      <c r="AA34" s="91">
        <v>9.1134788455570508</v>
      </c>
      <c r="AB34" s="163">
        <v>10.015535991714138</v>
      </c>
      <c r="AC34" s="163">
        <v>10.657009829280911</v>
      </c>
      <c r="AD34" s="163">
        <v>10.252431202151872</v>
      </c>
      <c r="AE34" s="163">
        <v>9.0287844274176852</v>
      </c>
      <c r="AF34" s="163">
        <v>9.5050735141851312</v>
      </c>
      <c r="AG34" s="163">
        <v>10.052800496945855</v>
      </c>
      <c r="AH34" s="163">
        <v>9.6924029727497949</v>
      </c>
      <c r="AI34" s="163">
        <v>9.4549958711808433</v>
      </c>
      <c r="AJ34" s="163">
        <v>9.1060596675957477</v>
      </c>
      <c r="AK34" s="163">
        <v>8.541288191577209</v>
      </c>
      <c r="AL34" s="163">
        <v>9.2363259811535681</v>
      </c>
      <c r="AM34" s="163">
        <v>9.6562571044745269</v>
      </c>
      <c r="AN34" s="119">
        <v>11.524602762488316</v>
      </c>
      <c r="AO34" s="119">
        <v>11.274408958938199</v>
      </c>
      <c r="AP34" s="119">
        <v>12.04564091944502</v>
      </c>
      <c r="AQ34" s="119">
        <v>10.067259198015709</v>
      </c>
      <c r="AR34" s="119">
        <v>9.9167596610870028</v>
      </c>
      <c r="AS34" s="119">
        <v>10.163358147229115</v>
      </c>
      <c r="AT34" s="119">
        <v>10.823426972115683</v>
      </c>
      <c r="AU34" s="119">
        <v>10.190684705153361</v>
      </c>
      <c r="AV34" s="119">
        <v>9.3770451267257364</v>
      </c>
      <c r="AW34" s="119">
        <v>8.8802387813915189</v>
      </c>
      <c r="AX34" s="119">
        <v>9.0090580831527909</v>
      </c>
      <c r="AY34" s="119">
        <v>9.8894100630230408</v>
      </c>
      <c r="AZ34" s="119">
        <v>11.945467730239304</v>
      </c>
      <c r="BA34" s="119">
        <v>11.844308901064819</v>
      </c>
      <c r="BB34" s="119">
        <v>11.086644545831605</v>
      </c>
      <c r="BC34" s="119">
        <v>10.067915157785825</v>
      </c>
      <c r="BD34" s="119">
        <v>9.5921406411582222</v>
      </c>
      <c r="BE34" s="164">
        <v>9.52196</v>
      </c>
      <c r="BF34" s="164">
        <v>9.6082000000000001</v>
      </c>
      <c r="BG34" s="248"/>
    </row>
    <row r="35" spans="2:59" ht="13.9">
      <c r="B35" s="61">
        <v>7</v>
      </c>
      <c r="C35" s="10" t="s">
        <v>102</v>
      </c>
      <c r="D35" s="144">
        <v>3.3384853168469864</v>
      </c>
      <c r="E35" s="144">
        <v>3.8623957153156865</v>
      </c>
      <c r="F35" s="144">
        <v>4.0539150118324931</v>
      </c>
      <c r="G35" s="144">
        <v>3.4939882848628097</v>
      </c>
      <c r="H35" s="144">
        <v>3.1822863027806383</v>
      </c>
      <c r="I35" s="144">
        <v>3.4195076732928209</v>
      </c>
      <c r="J35" s="144">
        <v>3.545295269504277</v>
      </c>
      <c r="K35" s="144">
        <v>3.4809474768280122</v>
      </c>
      <c r="L35" s="144">
        <v>3.3415587086160805</v>
      </c>
      <c r="M35" s="144">
        <v>3.1649484536082473</v>
      </c>
      <c r="N35" s="144">
        <v>3.1988442885151174</v>
      </c>
      <c r="O35" s="144">
        <v>3.3385012919896639</v>
      </c>
      <c r="P35" s="91">
        <v>3.5633133650072302</v>
      </c>
      <c r="Q35" s="91">
        <v>3.1915988880881292</v>
      </c>
      <c r="R35" s="91">
        <v>3.4012198904166233</v>
      </c>
      <c r="S35" s="91">
        <v>3.5182119205298013</v>
      </c>
      <c r="T35" s="91">
        <v>3.7577639751552794</v>
      </c>
      <c r="U35" s="91">
        <v>3.7806011775643014</v>
      </c>
      <c r="V35" s="91">
        <v>4.1804293971924027</v>
      </c>
      <c r="W35" s="91">
        <v>4.4545267065374308</v>
      </c>
      <c r="X35" s="91">
        <v>4.0824742268041234</v>
      </c>
      <c r="Y35" s="91">
        <v>3.8020456658745743</v>
      </c>
      <c r="Z35" s="91">
        <v>3.8497361067991309</v>
      </c>
      <c r="AA35" s="91">
        <v>5.0998241439950345</v>
      </c>
      <c r="AB35" s="162">
        <v>5.3236664940445362</v>
      </c>
      <c r="AC35" s="162">
        <v>5.7941024314536982</v>
      </c>
      <c r="AD35" s="162">
        <v>5.7935030002069103</v>
      </c>
      <c r="AE35" s="162">
        <v>5.6533443777179544</v>
      </c>
      <c r="AF35" s="162">
        <v>5.8397183681921723</v>
      </c>
      <c r="AG35" s="162">
        <v>6.1704110156330882</v>
      </c>
      <c r="AH35" s="162">
        <v>6.3707679603633363</v>
      </c>
      <c r="AI35" s="162">
        <v>5.8753096614368294</v>
      </c>
      <c r="AJ35" s="162">
        <v>4.5807370703004029</v>
      </c>
      <c r="AK35" s="162">
        <v>4.3814616019818331</v>
      </c>
      <c r="AL35" s="162">
        <v>4.8848296572434498</v>
      </c>
      <c r="AM35" s="162">
        <v>4.7564327787537461</v>
      </c>
      <c r="AN35" s="119">
        <v>5.3842351230657384</v>
      </c>
      <c r="AO35" s="119">
        <v>5.7632517627540443</v>
      </c>
      <c r="AP35" s="119">
        <v>5.5428867260302344</v>
      </c>
      <c r="AQ35" s="119">
        <v>4.9794956593633728</v>
      </c>
      <c r="AR35" s="119">
        <v>4.8583591651167604</v>
      </c>
      <c r="AS35" s="119">
        <v>5.2477667493796529</v>
      </c>
      <c r="AT35" s="119">
        <v>5.2837980719394624</v>
      </c>
      <c r="AU35" s="119">
        <v>5.0643808736961677</v>
      </c>
      <c r="AV35" s="119">
        <v>4.7375231815371928</v>
      </c>
      <c r="AW35" s="119">
        <v>4.6941539728283237</v>
      </c>
      <c r="AX35" s="119">
        <v>4.7838233776952439</v>
      </c>
      <c r="AY35" s="119">
        <v>4.9576195888004957</v>
      </c>
      <c r="AZ35" s="119">
        <v>5.3259297627680509</v>
      </c>
      <c r="BA35" s="119">
        <v>5.6939108859712597</v>
      </c>
      <c r="BB35" s="119">
        <v>5.9469929489838247</v>
      </c>
      <c r="BC35" s="119">
        <v>5.2278116916709774</v>
      </c>
      <c r="BD35" s="119">
        <v>5.2865356773526369</v>
      </c>
      <c r="BE35" s="164">
        <v>5.0913199999999996</v>
      </c>
      <c r="BF35" s="164">
        <v>5.4783999999999997</v>
      </c>
      <c r="BG35" s="248"/>
    </row>
    <row r="36" spans="2:59" ht="13.9">
      <c r="B36" s="61">
        <v>8</v>
      </c>
      <c r="C36" s="10" t="s">
        <v>103</v>
      </c>
      <c r="D36" s="144">
        <v>1.168469860896445</v>
      </c>
      <c r="E36" s="144">
        <v>1.5737975074672985</v>
      </c>
      <c r="F36" s="144">
        <v>1.6833007511060807</v>
      </c>
      <c r="G36" s="144">
        <v>1.2968862398520193</v>
      </c>
      <c r="H36" s="144">
        <v>1.6858908341915551</v>
      </c>
      <c r="I36" s="144">
        <v>2.3267071789061693</v>
      </c>
      <c r="J36" s="144">
        <v>2.1632484798515925</v>
      </c>
      <c r="K36" s="144">
        <v>1.9155509783728117</v>
      </c>
      <c r="L36" s="144">
        <v>2.0004112687641373</v>
      </c>
      <c r="M36" s="144">
        <v>2.2958762886597937</v>
      </c>
      <c r="N36" s="144">
        <v>2.3207099370549997</v>
      </c>
      <c r="O36" s="144">
        <v>2.3421188630490954</v>
      </c>
      <c r="P36" s="91">
        <v>2.2557322867176208</v>
      </c>
      <c r="Q36" s="91">
        <v>2.0549778647173889</v>
      </c>
      <c r="R36" s="91">
        <v>2.3436369275302384</v>
      </c>
      <c r="S36" s="91">
        <v>2.8487168874172184</v>
      </c>
      <c r="T36" s="91">
        <v>2.6024844720496891</v>
      </c>
      <c r="U36" s="91">
        <v>2.8271872740419379</v>
      </c>
      <c r="V36" s="91">
        <v>2.7776630883567299</v>
      </c>
      <c r="W36" s="91">
        <v>3.7090121674572076</v>
      </c>
      <c r="X36" s="91">
        <v>3.4360824742268044</v>
      </c>
      <c r="Y36" s="91">
        <v>2.5043909494782519</v>
      </c>
      <c r="Z36" s="91">
        <v>3.2639966883990477</v>
      </c>
      <c r="AA36" s="91">
        <v>4.3910209992758871</v>
      </c>
      <c r="AB36" s="162">
        <v>5.018125323666494</v>
      </c>
      <c r="AC36" s="162">
        <v>5.1681324366270047</v>
      </c>
      <c r="AD36" s="162">
        <v>4.8520587626732885</v>
      </c>
      <c r="AE36" s="162">
        <v>4.4936839925450407</v>
      </c>
      <c r="AF36" s="162">
        <v>4.7421826465106651</v>
      </c>
      <c r="AG36" s="162">
        <v>4.9373641163681539</v>
      </c>
      <c r="AH36" s="162">
        <v>4.9442609413707679</v>
      </c>
      <c r="AI36" s="162">
        <v>4.1205615194054497</v>
      </c>
      <c r="AJ36" s="162">
        <v>4.4284505006710022</v>
      </c>
      <c r="AK36" s="162">
        <v>4.1108175061932286</v>
      </c>
      <c r="AL36" s="162">
        <v>4.3733250491871187</v>
      </c>
      <c r="AM36" s="162">
        <v>4.9414487961144982</v>
      </c>
      <c r="AN36" s="119">
        <v>5.2193581888046525</v>
      </c>
      <c r="AO36" s="119">
        <v>5.3737868104520947</v>
      </c>
      <c r="AP36" s="119">
        <v>5.7037896044729761</v>
      </c>
      <c r="AQ36" s="119">
        <v>5.7080611823067375</v>
      </c>
      <c r="AR36" s="119">
        <v>5.5106426947716471</v>
      </c>
      <c r="AS36" s="119">
        <v>5.5319272125723744</v>
      </c>
      <c r="AT36" s="119">
        <v>5.4573649839328287</v>
      </c>
      <c r="AU36" s="119">
        <v>4.875513787049468</v>
      </c>
      <c r="AV36" s="119">
        <v>4.6853492684937148</v>
      </c>
      <c r="AW36" s="119">
        <v>4.577727459860025</v>
      </c>
      <c r="AX36" s="119">
        <v>4.746889507892293</v>
      </c>
      <c r="AY36" s="119">
        <v>4.7550366773427006</v>
      </c>
      <c r="AZ36" s="119">
        <v>5.7942608515487413</v>
      </c>
      <c r="BA36" s="119">
        <v>5.7986974051483502</v>
      </c>
      <c r="BB36" s="119">
        <v>5.6546246370800493</v>
      </c>
      <c r="BC36" s="119">
        <v>5.3532540093119501</v>
      </c>
      <c r="BD36" s="119">
        <v>5.9820062047569804</v>
      </c>
      <c r="BE36" s="164">
        <v>5.9807600000000001</v>
      </c>
      <c r="BF36" s="164">
        <v>8.2515599999999996</v>
      </c>
      <c r="BG36" s="248"/>
    </row>
    <row r="37" spans="2:59" ht="13.9">
      <c r="B37" s="61">
        <v>9</v>
      </c>
      <c r="C37" s="10" t="s">
        <v>104</v>
      </c>
      <c r="D37" s="144">
        <v>0.39155074703760945</v>
      </c>
      <c r="E37" s="144">
        <v>0.51498609537542483</v>
      </c>
      <c r="F37" s="144">
        <v>1.0083341907603662</v>
      </c>
      <c r="G37" s="144">
        <v>1.6442297811119106</v>
      </c>
      <c r="H37" s="144">
        <v>2.4098867147270853</v>
      </c>
      <c r="I37" s="144">
        <v>2.7706251931197858</v>
      </c>
      <c r="J37" s="144">
        <v>2.2467278161393383</v>
      </c>
      <c r="K37" s="144">
        <v>2.4819773429454175</v>
      </c>
      <c r="L37" s="144">
        <v>1.4805675508945095</v>
      </c>
      <c r="M37" s="144">
        <v>1.5876288659793816</v>
      </c>
      <c r="N37" s="144">
        <v>1.5271901764523785</v>
      </c>
      <c r="O37" s="144">
        <v>2.9974160206718343</v>
      </c>
      <c r="P37" s="92">
        <v>4.6064862631687671</v>
      </c>
      <c r="Q37" s="92">
        <v>4.6638525687223309</v>
      </c>
      <c r="R37" s="92">
        <v>2.1813294737930318</v>
      </c>
      <c r="S37" s="92">
        <v>2.1316225165562912</v>
      </c>
      <c r="T37" s="92">
        <v>2.0807453416149069</v>
      </c>
      <c r="U37" s="92">
        <v>2.2208449540336743</v>
      </c>
      <c r="V37" s="92">
        <v>2.2398843930635839</v>
      </c>
      <c r="W37" s="92">
        <v>2.3510002062280879</v>
      </c>
      <c r="X37" s="92">
        <v>2.3092783505154642</v>
      </c>
      <c r="Y37" s="92">
        <v>2.4486000619898753</v>
      </c>
      <c r="Z37" s="92">
        <v>2.5664907378660868</v>
      </c>
      <c r="AA37" s="92">
        <v>3.6102203372297508</v>
      </c>
      <c r="AB37" s="162">
        <v>3.3143448990160538</v>
      </c>
      <c r="AC37" s="162">
        <v>3.3729953440248317</v>
      </c>
      <c r="AD37" s="162">
        <v>3.3312642251189737</v>
      </c>
      <c r="AE37" s="162">
        <v>3.1890660592255125</v>
      </c>
      <c r="AF37" s="162">
        <v>3.3857941602816317</v>
      </c>
      <c r="AG37" s="162">
        <v>4.4000414121544678</v>
      </c>
      <c r="AH37" s="162">
        <v>3.2824112303881092</v>
      </c>
      <c r="AI37" s="162">
        <v>3.7572254335260116</v>
      </c>
      <c r="AJ37" s="162">
        <v>3.4212862599359966</v>
      </c>
      <c r="AK37" s="162">
        <v>3.417423616845582</v>
      </c>
      <c r="AL37" s="162">
        <v>3.7653101377239309</v>
      </c>
      <c r="AM37" s="162">
        <v>4.1962591712307535</v>
      </c>
      <c r="AN37" s="119">
        <v>4.4320697891785237</v>
      </c>
      <c r="AO37" s="119">
        <v>4.6357527996681878</v>
      </c>
      <c r="AP37" s="119">
        <v>4.6514392213708842</v>
      </c>
      <c r="AQ37" s="119">
        <v>4.6424555601488224</v>
      </c>
      <c r="AR37" s="119">
        <v>5.1102707170903079</v>
      </c>
      <c r="AS37" s="119">
        <v>5.1658395368072796</v>
      </c>
      <c r="AT37" s="119">
        <v>5.6191562143671607</v>
      </c>
      <c r="AU37" s="119">
        <v>5.5874005989879167</v>
      </c>
      <c r="AV37" s="119">
        <v>5.3823614259221104</v>
      </c>
      <c r="AW37" s="119">
        <v>5.5225607245780148</v>
      </c>
      <c r="AX37" s="119">
        <v>5.7515320334261837</v>
      </c>
      <c r="AY37" s="119">
        <v>6.1236491373075737</v>
      </c>
      <c r="AZ37" s="119">
        <v>6.7373459028281362</v>
      </c>
      <c r="BA37" s="119">
        <v>8.5485371653054898</v>
      </c>
      <c r="BB37" s="119">
        <v>11.761302364164246</v>
      </c>
      <c r="BC37" s="119">
        <v>12.728525607863425</v>
      </c>
      <c r="BD37" s="119">
        <v>12.073671147880042</v>
      </c>
      <c r="BE37" s="164">
        <v>10.807399999999999</v>
      </c>
      <c r="BF37" s="164">
        <v>10.84004</v>
      </c>
      <c r="BG37" s="248"/>
    </row>
    <row r="38" spans="2:59" ht="13.9">
      <c r="B38" s="61">
        <v>10</v>
      </c>
      <c r="C38" s="10" t="s">
        <v>105</v>
      </c>
      <c r="D38" s="144">
        <v>10.06851</v>
      </c>
      <c r="E38" s="144">
        <v>12.184544000000001</v>
      </c>
      <c r="F38" s="144">
        <v>12.265233</v>
      </c>
      <c r="G38" s="144">
        <v>12.107150999999998</v>
      </c>
      <c r="H38" s="144">
        <v>11.02059</v>
      </c>
      <c r="I38" s="144">
        <v>12.431528</v>
      </c>
      <c r="J38" s="144">
        <v>11.759174</v>
      </c>
      <c r="K38" s="144">
        <v>9.6520200000000003</v>
      </c>
      <c r="L38" s="144">
        <v>9.6781079999999999</v>
      </c>
      <c r="M38" s="144">
        <v>9.2081999999999997</v>
      </c>
      <c r="N38" s="144">
        <v>10.123438</v>
      </c>
      <c r="O38" s="144">
        <v>11.3575</v>
      </c>
      <c r="P38" s="92">
        <v>11.504570000000001</v>
      </c>
      <c r="Q38" s="92">
        <v>13.887449999999999</v>
      </c>
      <c r="R38" s="92">
        <v>13.239214</v>
      </c>
      <c r="S38" s="92">
        <v>12.868319999999999</v>
      </c>
      <c r="T38" s="92">
        <v>13.0801</v>
      </c>
      <c r="U38" s="92">
        <v>13.043216000000001</v>
      </c>
      <c r="V38" s="92">
        <v>12.776568000000001</v>
      </c>
      <c r="W38" s="92">
        <v>12.135755999999999</v>
      </c>
      <c r="X38" s="92">
        <v>9.7850000000000001</v>
      </c>
      <c r="Y38" s="92">
        <v>9.3508259999999996</v>
      </c>
      <c r="Z38" s="92">
        <v>10.523066</v>
      </c>
      <c r="AA38" s="92">
        <v>12.337602</v>
      </c>
      <c r="AB38" s="162">
        <v>13.489879999999999</v>
      </c>
      <c r="AC38" s="162">
        <v>15.988245000000001</v>
      </c>
      <c r="AD38" s="162">
        <v>14.787954000000001</v>
      </c>
      <c r="AE38" s="162">
        <v>13.485968</v>
      </c>
      <c r="AF38" s="162">
        <v>15.088977999999999</v>
      </c>
      <c r="AG38" s="162">
        <v>13.546709999999999</v>
      </c>
      <c r="AH38" s="162">
        <v>13.19936</v>
      </c>
      <c r="AI38" s="162">
        <v>12.590952000000001</v>
      </c>
      <c r="AJ38" s="162">
        <v>11.58914008464953</v>
      </c>
      <c r="AK38" s="162">
        <v>12.356729975227084</v>
      </c>
      <c r="AL38" s="162">
        <v>12.211659935797867</v>
      </c>
      <c r="AM38" s="162">
        <v>13.35372532809755</v>
      </c>
      <c r="AN38" s="119">
        <v>15.015474088690414</v>
      </c>
      <c r="AO38" s="119">
        <v>16.330153463293239</v>
      </c>
      <c r="AP38" s="119">
        <v>16.646096500310623</v>
      </c>
      <c r="AQ38" s="119">
        <v>16.021496486151303</v>
      </c>
      <c r="AR38" s="119">
        <v>14.832816697664807</v>
      </c>
      <c r="AS38" s="119">
        <v>15.32340777502068</v>
      </c>
      <c r="AT38" s="119">
        <v>14.911164092463979</v>
      </c>
      <c r="AU38" s="119">
        <v>13.387586491789735</v>
      </c>
      <c r="AV38" s="119">
        <v>14.078714197403666</v>
      </c>
      <c r="AW38" s="119">
        <v>11.991766158913132</v>
      </c>
      <c r="AX38" s="119">
        <v>14.028267822139687</v>
      </c>
      <c r="AY38" s="119">
        <v>15.080896786858148</v>
      </c>
      <c r="AZ38" s="119">
        <v>16.158292758727857</v>
      </c>
      <c r="BA38" s="119">
        <v>18.210689548227023</v>
      </c>
      <c r="BB38" s="119">
        <v>18.428038158440479</v>
      </c>
      <c r="BC38" s="119">
        <v>15.864252457320228</v>
      </c>
      <c r="BD38" s="119">
        <v>15.499482936918303</v>
      </c>
      <c r="BE38" s="164">
        <v>15.4008</v>
      </c>
      <c r="BF38" s="164">
        <v>15.052</v>
      </c>
      <c r="BG38" s="248"/>
    </row>
    <row r="39" spans="2:59" ht="13.9">
      <c r="B39" s="61">
        <v>11</v>
      </c>
      <c r="C39" s="10" t="s">
        <v>106</v>
      </c>
      <c r="D39" s="144" t="s">
        <v>124</v>
      </c>
      <c r="E39" s="144" t="s">
        <v>124</v>
      </c>
      <c r="F39" s="144" t="s">
        <v>124</v>
      </c>
      <c r="G39" s="144" t="s">
        <v>124</v>
      </c>
      <c r="H39" s="144" t="s">
        <v>124</v>
      </c>
      <c r="I39" s="144" t="s">
        <v>124</v>
      </c>
      <c r="J39" s="144" t="s">
        <v>124</v>
      </c>
      <c r="K39" s="144">
        <v>5.87</v>
      </c>
      <c r="L39" s="144">
        <v>5.91</v>
      </c>
      <c r="M39" s="144">
        <v>5.72</v>
      </c>
      <c r="N39" s="144">
        <v>5.89</v>
      </c>
      <c r="O39" s="144">
        <v>6.88</v>
      </c>
      <c r="P39" s="92">
        <v>6.83</v>
      </c>
      <c r="Q39" s="92">
        <v>6</v>
      </c>
      <c r="R39" s="92">
        <v>5.83</v>
      </c>
      <c r="S39" s="92">
        <v>5.48</v>
      </c>
      <c r="T39" s="92">
        <v>6.1</v>
      </c>
      <c r="U39" s="92">
        <v>5.61</v>
      </c>
      <c r="V39" s="92">
        <v>6.63</v>
      </c>
      <c r="W39" s="92">
        <v>6.64</v>
      </c>
      <c r="X39" s="92">
        <v>5.95</v>
      </c>
      <c r="Y39" s="92">
        <v>5.6</v>
      </c>
      <c r="Z39" s="92">
        <v>6.41</v>
      </c>
      <c r="AA39" s="92">
        <v>8.19</v>
      </c>
      <c r="AB39" s="162">
        <v>9.2799999999999994</v>
      </c>
      <c r="AC39" s="162">
        <v>9.66</v>
      </c>
      <c r="AD39" s="162">
        <v>9.01</v>
      </c>
      <c r="AE39" s="162">
        <v>7.75</v>
      </c>
      <c r="AF39" s="162">
        <v>8.0299999999999994</v>
      </c>
      <c r="AG39" s="162">
        <v>8.32</v>
      </c>
      <c r="AH39" s="162">
        <v>8.5299999999999994</v>
      </c>
      <c r="AI39" s="162">
        <v>8.01</v>
      </c>
      <c r="AJ39" s="162">
        <v>6.9128935687003192</v>
      </c>
      <c r="AK39" s="162">
        <v>5.0360445912469034</v>
      </c>
      <c r="AL39" s="162">
        <v>5.6210417313865584</v>
      </c>
      <c r="AM39" s="162">
        <v>5.8353208639041023</v>
      </c>
      <c r="AN39" s="119">
        <v>7.5097310208744421</v>
      </c>
      <c r="AO39" s="119">
        <v>10.552882621318954</v>
      </c>
      <c r="AP39" s="119">
        <v>10.149140608821702</v>
      </c>
      <c r="AQ39" s="119">
        <v>9.545431996692848</v>
      </c>
      <c r="AR39" s="119">
        <v>8.4360405042364128</v>
      </c>
      <c r="AS39" s="119">
        <v>8.4817617866004955</v>
      </c>
      <c r="AT39" s="119">
        <v>9.2354514356794866</v>
      </c>
      <c r="AU39" s="119">
        <v>8.0853041412785291</v>
      </c>
      <c r="AV39" s="119">
        <v>7.6973830620234898</v>
      </c>
      <c r="AW39" s="119">
        <v>7.3023466447097576</v>
      </c>
      <c r="AX39" s="119">
        <v>8.737109254100897</v>
      </c>
      <c r="AY39" s="119">
        <v>10.072362847401592</v>
      </c>
      <c r="AZ39" s="119">
        <v>11.146835180772817</v>
      </c>
      <c r="BA39" s="119">
        <v>11.221296392019021</v>
      </c>
      <c r="BB39" s="119">
        <v>10.441310659477395</v>
      </c>
      <c r="BC39" s="119">
        <v>8.6128504914640462</v>
      </c>
      <c r="BD39" s="119">
        <v>8.8797518097207853</v>
      </c>
      <c r="BE39" s="164">
        <v>8.2819599999999998</v>
      </c>
      <c r="BF39" s="164">
        <v>8.9788800000000002</v>
      </c>
      <c r="BG39" s="248"/>
    </row>
    <row r="40" spans="2:59" ht="13.9">
      <c r="B40" s="61">
        <v>12</v>
      </c>
      <c r="C40" s="10" t="s">
        <v>107</v>
      </c>
      <c r="D40" s="144" t="s">
        <v>124</v>
      </c>
      <c r="E40" s="144" t="s">
        <v>124</v>
      </c>
      <c r="F40" s="144" t="s">
        <v>124</v>
      </c>
      <c r="G40" s="144" t="s">
        <v>124</v>
      </c>
      <c r="H40" s="144" t="s">
        <v>124</v>
      </c>
      <c r="I40" s="144" t="s">
        <v>124</v>
      </c>
      <c r="J40" s="144" t="s">
        <v>124</v>
      </c>
      <c r="K40" s="144" t="s">
        <v>124</v>
      </c>
      <c r="L40" s="144" t="s">
        <v>124</v>
      </c>
      <c r="M40" s="144" t="s">
        <v>124</v>
      </c>
      <c r="N40" s="144" t="s">
        <v>124</v>
      </c>
      <c r="O40" s="144">
        <v>2.4700000000000002</v>
      </c>
      <c r="P40" s="92">
        <v>2.5099999999999998</v>
      </c>
      <c r="Q40" s="92">
        <v>2.4900000000000002</v>
      </c>
      <c r="R40" s="92">
        <v>2.68</v>
      </c>
      <c r="S40" s="92">
        <v>2.69</v>
      </c>
      <c r="T40" s="92">
        <v>2.5</v>
      </c>
      <c r="U40" s="92">
        <v>2.5099999999999998</v>
      </c>
      <c r="V40" s="92">
        <v>2.58</v>
      </c>
      <c r="W40" s="92">
        <v>3.09</v>
      </c>
      <c r="X40" s="92">
        <v>3.1</v>
      </c>
      <c r="Y40" s="92">
        <v>2.17</v>
      </c>
      <c r="Z40" s="92">
        <v>2.9</v>
      </c>
      <c r="AA40" s="92">
        <v>4.59</v>
      </c>
      <c r="AB40" s="162">
        <v>5.18</v>
      </c>
      <c r="AC40" s="162">
        <v>5.4</v>
      </c>
      <c r="AD40" s="162">
        <v>4.93</v>
      </c>
      <c r="AE40" s="162">
        <v>4.54</v>
      </c>
      <c r="AF40" s="162">
        <v>5.07</v>
      </c>
      <c r="AG40" s="162">
        <v>4.92</v>
      </c>
      <c r="AH40" s="162">
        <v>4.8099999999999996</v>
      </c>
      <c r="AI40" s="162">
        <v>4.79</v>
      </c>
      <c r="AJ40" s="162">
        <v>4.7874058015897587</v>
      </c>
      <c r="AK40" s="162">
        <v>4.8246903385631708</v>
      </c>
      <c r="AL40" s="162">
        <v>9.2820130475302882</v>
      </c>
      <c r="AM40" s="162">
        <v>8.9056525782783922</v>
      </c>
      <c r="AN40" s="119">
        <v>6.7553432339806836</v>
      </c>
      <c r="AO40" s="119">
        <v>8.3837826627955199</v>
      </c>
      <c r="AP40" s="119">
        <v>6.6402153655001035</v>
      </c>
      <c r="AQ40" s="119">
        <v>5.7550640760644898</v>
      </c>
      <c r="AR40" s="119">
        <v>5.6445959909072121</v>
      </c>
      <c r="AS40" s="119">
        <v>9.5859801488833742</v>
      </c>
      <c r="AT40" s="119">
        <v>8.4044366124183689</v>
      </c>
      <c r="AU40" s="119">
        <v>8.4778271196943091</v>
      </c>
      <c r="AV40" s="119">
        <v>5.0047393364928903</v>
      </c>
      <c r="AW40" s="119">
        <v>4.5303005351996708</v>
      </c>
      <c r="AX40" s="119">
        <v>5.0744248426699681</v>
      </c>
      <c r="AY40" s="119">
        <v>5.7304266969728275</v>
      </c>
      <c r="AZ40" s="119">
        <v>6.9004040194758103</v>
      </c>
      <c r="BA40" s="119">
        <v>6.9935697301767803</v>
      </c>
      <c r="BB40" s="119">
        <v>6.2722521775197011</v>
      </c>
      <c r="BC40" s="119">
        <v>5.6950646663217794</v>
      </c>
      <c r="BD40" s="119">
        <v>5.9191726990692866</v>
      </c>
      <c r="BE40" s="164">
        <v>5.97776</v>
      </c>
      <c r="BF40" s="164">
        <v>6.2706799999999996</v>
      </c>
      <c r="BG40" s="248"/>
    </row>
    <row r="41" spans="2:59" ht="13.9">
      <c r="B41" s="61">
        <v>13</v>
      </c>
      <c r="C41" s="10" t="s">
        <v>108</v>
      </c>
      <c r="D41" s="144" t="s">
        <v>124</v>
      </c>
      <c r="E41" s="144" t="s">
        <v>124</v>
      </c>
      <c r="F41" s="144" t="s">
        <v>124</v>
      </c>
      <c r="G41" s="144" t="s">
        <v>124</v>
      </c>
      <c r="H41" s="144" t="s">
        <v>124</v>
      </c>
      <c r="I41" s="144" t="s">
        <v>124</v>
      </c>
      <c r="J41" s="144" t="s">
        <v>124</v>
      </c>
      <c r="K41" s="144" t="s">
        <v>124</v>
      </c>
      <c r="L41" s="144" t="s">
        <v>124</v>
      </c>
      <c r="M41" s="144" t="s">
        <v>124</v>
      </c>
      <c r="N41" s="144" t="s">
        <v>124</v>
      </c>
      <c r="O41" s="144">
        <v>0</v>
      </c>
      <c r="P41" s="91" t="s">
        <v>124</v>
      </c>
      <c r="Q41" s="91" t="s">
        <v>124</v>
      </c>
      <c r="R41" s="91" t="s">
        <v>124</v>
      </c>
      <c r="S41" s="91" t="s">
        <v>124</v>
      </c>
      <c r="T41" s="91">
        <v>0.23400000000000001</v>
      </c>
      <c r="U41" s="91">
        <v>0.27189999999999998</v>
      </c>
      <c r="V41" s="91">
        <v>0.4012</v>
      </c>
      <c r="W41" s="91">
        <v>0.47020000000000001</v>
      </c>
      <c r="X41" s="91">
        <v>0.5</v>
      </c>
      <c r="Y41" s="91">
        <v>0.49210000000000004</v>
      </c>
      <c r="Z41" s="91">
        <v>0.67369999999999997</v>
      </c>
      <c r="AA41" s="91">
        <v>0.69330000000000003</v>
      </c>
      <c r="AB41" s="162">
        <v>0.94450000000000001</v>
      </c>
      <c r="AC41" s="162">
        <v>0.89349999999999996</v>
      </c>
      <c r="AD41" s="162">
        <v>1.0733999999999999</v>
      </c>
      <c r="AE41" s="162">
        <v>0.94420000000000004</v>
      </c>
      <c r="AF41" s="162">
        <v>0.99419999999999997</v>
      </c>
      <c r="AG41" s="162">
        <v>0.99409999999999998</v>
      </c>
      <c r="AH41" s="162">
        <v>1.1012</v>
      </c>
      <c r="AI41" s="162">
        <v>1.2911999999999999</v>
      </c>
      <c r="AJ41" s="162">
        <v>1.0488283266233096</v>
      </c>
      <c r="AK41" s="162">
        <v>1.0115606936416184</v>
      </c>
      <c r="AL41" s="162">
        <v>1.0976493735114425</v>
      </c>
      <c r="AM41" s="162">
        <v>1.4012607212979229</v>
      </c>
      <c r="AN41" s="119">
        <v>1.2628518018485824</v>
      </c>
      <c r="AO41" s="119">
        <v>1.2774782248029863</v>
      </c>
      <c r="AP41" s="119">
        <v>1.3957341064402569</v>
      </c>
      <c r="AQ41" s="119">
        <v>1.3311285655229435</v>
      </c>
      <c r="AR41" s="119">
        <v>1.3432527381690433</v>
      </c>
      <c r="AS41" s="119">
        <v>1.4598842018196856</v>
      </c>
      <c r="AT41" s="119">
        <v>1.3185446252721054</v>
      </c>
      <c r="AU41" s="119">
        <v>0.98729732520912927</v>
      </c>
      <c r="AV41" s="119">
        <v>1.030290541932825</v>
      </c>
      <c r="AW41" s="119">
        <v>1.020996294771511</v>
      </c>
      <c r="AX41" s="119">
        <v>1.1554730217682865</v>
      </c>
      <c r="AY41" s="119">
        <v>1.264593449736543</v>
      </c>
      <c r="AZ41" s="119">
        <v>1.2182741116751268</v>
      </c>
      <c r="BA41" s="119">
        <v>1.2281608601261242</v>
      </c>
      <c r="BB41" s="119">
        <v>1.2235586893405226</v>
      </c>
      <c r="BC41" s="119">
        <v>1.2664252457320226</v>
      </c>
      <c r="BD41" s="119">
        <v>1.3071354705274043</v>
      </c>
      <c r="BE41" s="164">
        <v>1.3640000000000001</v>
      </c>
      <c r="BF41" s="164">
        <v>1.5760000000000001</v>
      </c>
      <c r="BG41" s="248"/>
    </row>
    <row r="42" spans="2:59" ht="13.9">
      <c r="B42" s="61">
        <v>14</v>
      </c>
      <c r="C42" s="10" t="s">
        <v>109</v>
      </c>
      <c r="D42" s="144" t="s">
        <v>124</v>
      </c>
      <c r="E42" s="144" t="s">
        <v>124</v>
      </c>
      <c r="F42" s="144" t="s">
        <v>124</v>
      </c>
      <c r="G42" s="144" t="s">
        <v>124</v>
      </c>
      <c r="H42" s="144" t="s">
        <v>124</v>
      </c>
      <c r="I42" s="144" t="s">
        <v>124</v>
      </c>
      <c r="J42" s="144" t="s">
        <v>124</v>
      </c>
      <c r="K42" s="144" t="s">
        <v>124</v>
      </c>
      <c r="L42" s="144" t="s">
        <v>124</v>
      </c>
      <c r="M42" s="144" t="s">
        <v>124</v>
      </c>
      <c r="N42" s="144">
        <v>0.59379839999999995</v>
      </c>
      <c r="O42" s="144">
        <v>0.68041750000000001</v>
      </c>
      <c r="P42" s="92">
        <v>0.71297379999999999</v>
      </c>
      <c r="Q42" s="92">
        <v>0.70877429999999986</v>
      </c>
      <c r="R42" s="91">
        <v>0.6454375</v>
      </c>
      <c r="S42" s="91">
        <v>0.6428992</v>
      </c>
      <c r="T42" s="91">
        <v>0.60075400000000001</v>
      </c>
      <c r="U42" s="91">
        <v>0.65216079999999998</v>
      </c>
      <c r="V42" s="91">
        <v>0.62800079999999991</v>
      </c>
      <c r="W42" s="91">
        <v>0.62739179999999994</v>
      </c>
      <c r="X42" s="91">
        <v>0.60151999999999994</v>
      </c>
      <c r="Y42" s="91">
        <v>0.54082039999999998</v>
      </c>
      <c r="Z42" s="91">
        <v>0.64399510000000004</v>
      </c>
      <c r="AA42" s="91">
        <v>0.70161070000000014</v>
      </c>
      <c r="AB42" s="162">
        <v>0.80484100000000003</v>
      </c>
      <c r="AC42" s="162">
        <v>0.84333599999999997</v>
      </c>
      <c r="AD42" s="162">
        <v>0.71304599999999996</v>
      </c>
      <c r="AE42" s="162">
        <v>0.65361440000000004</v>
      </c>
      <c r="AF42" s="162">
        <v>0.62362260000000003</v>
      </c>
      <c r="AG42" s="162">
        <v>0.74351789999999995</v>
      </c>
      <c r="AH42" s="162">
        <v>0.68471680000000001</v>
      </c>
      <c r="AI42" s="162">
        <v>0.68211817600000002</v>
      </c>
      <c r="AJ42" s="162">
        <v>0.58309074016723439</v>
      </c>
      <c r="AK42" s="162">
        <v>0.56952931461601985</v>
      </c>
      <c r="AL42" s="162">
        <v>0.62739981360671015</v>
      </c>
      <c r="AM42" s="162">
        <v>0.67417588095484138</v>
      </c>
      <c r="AN42" s="119">
        <v>0.762696022432236</v>
      </c>
      <c r="AO42" s="119">
        <v>0.82807963500622139</v>
      </c>
      <c r="AP42" s="119">
        <v>0.8229032926071651</v>
      </c>
      <c r="AQ42" s="119">
        <v>0.65795783381562623</v>
      </c>
      <c r="AR42" s="119">
        <v>0.63682579045257282</v>
      </c>
      <c r="AS42" s="119">
        <v>0.69722911497105045</v>
      </c>
      <c r="AT42" s="119">
        <v>0.71897999378044986</v>
      </c>
      <c r="AU42" s="119">
        <v>0.62117112465145097</v>
      </c>
      <c r="AV42" s="119">
        <v>0.64253039357098696</v>
      </c>
      <c r="AW42" s="119">
        <v>0.65961300946891721</v>
      </c>
      <c r="AX42" s="119">
        <v>0.61970494171051271</v>
      </c>
      <c r="AY42" s="119">
        <v>0.67874780452526084</v>
      </c>
      <c r="AZ42" s="119">
        <v>0.76900445457370759</v>
      </c>
      <c r="BA42" s="119">
        <v>0.74082497673937764</v>
      </c>
      <c r="BB42" s="119">
        <v>0.72762339278307753</v>
      </c>
      <c r="BC42" s="119">
        <v>0.6879668908432488</v>
      </c>
      <c r="BD42" s="119">
        <v>0.68517063081695972</v>
      </c>
      <c r="BE42" s="164">
        <v>0.64580000000000004</v>
      </c>
      <c r="BF42" s="164">
        <v>0.67223999999999995</v>
      </c>
      <c r="BG42" s="248"/>
    </row>
    <row r="43" spans="2:59" ht="13.9">
      <c r="B43" s="61">
        <v>15</v>
      </c>
      <c r="C43" s="10" t="s">
        <v>110</v>
      </c>
      <c r="D43" s="144" t="s">
        <v>124</v>
      </c>
      <c r="E43" s="144" t="s">
        <v>124</v>
      </c>
      <c r="F43" s="144" t="s">
        <v>124</v>
      </c>
      <c r="G43" s="144" t="s">
        <v>124</v>
      </c>
      <c r="H43" s="144" t="s">
        <v>124</v>
      </c>
      <c r="I43" s="144" t="s">
        <v>124</v>
      </c>
      <c r="J43" s="144" t="s">
        <v>124</v>
      </c>
      <c r="K43" s="144" t="s">
        <v>124</v>
      </c>
      <c r="L43" s="144" t="s">
        <v>124</v>
      </c>
      <c r="M43" s="144" t="s">
        <v>124</v>
      </c>
      <c r="N43" s="144" t="s">
        <v>124</v>
      </c>
      <c r="O43" s="144" t="s">
        <v>124</v>
      </c>
      <c r="P43" s="144" t="s">
        <v>124</v>
      </c>
      <c r="Q43" s="144" t="s">
        <v>124</v>
      </c>
      <c r="R43" s="144" t="s">
        <v>124</v>
      </c>
      <c r="S43" s="144" t="s">
        <v>124</v>
      </c>
      <c r="T43" s="144" t="s">
        <v>124</v>
      </c>
      <c r="U43" s="144" t="s">
        <v>124</v>
      </c>
      <c r="V43" s="144" t="s">
        <v>124</v>
      </c>
      <c r="W43" s="144" t="s">
        <v>124</v>
      </c>
      <c r="X43" s="144" t="s">
        <v>124</v>
      </c>
      <c r="Y43" s="144" t="s">
        <v>124</v>
      </c>
      <c r="Z43" s="144" t="s">
        <v>124</v>
      </c>
      <c r="AA43" s="144" t="s">
        <v>124</v>
      </c>
      <c r="AB43" s="144" t="s">
        <v>124</v>
      </c>
      <c r="AC43" s="144" t="s">
        <v>124</v>
      </c>
      <c r="AD43" s="144" t="s">
        <v>124</v>
      </c>
      <c r="AE43" s="144" t="s">
        <v>124</v>
      </c>
      <c r="AF43" s="144" t="s">
        <v>124</v>
      </c>
      <c r="AG43" s="144" t="s">
        <v>124</v>
      </c>
      <c r="AH43" s="144" t="s">
        <v>124</v>
      </c>
      <c r="AI43" s="144" t="s">
        <v>124</v>
      </c>
      <c r="AJ43" s="144" t="s">
        <v>124</v>
      </c>
      <c r="AK43" s="144" t="s">
        <v>124</v>
      </c>
      <c r="AL43" s="144" t="s">
        <v>124</v>
      </c>
      <c r="AM43" s="144" t="s">
        <v>124</v>
      </c>
      <c r="AN43" s="144" t="s">
        <v>124</v>
      </c>
      <c r="AO43" s="144" t="s">
        <v>124</v>
      </c>
      <c r="AP43" s="144" t="s">
        <v>124</v>
      </c>
      <c r="AQ43" s="144" t="s">
        <v>124</v>
      </c>
      <c r="AR43" s="144" t="s">
        <v>124</v>
      </c>
      <c r="AS43" s="144" t="s">
        <v>124</v>
      </c>
      <c r="AT43" s="144" t="s">
        <v>124</v>
      </c>
      <c r="AU43" s="119">
        <v>30.15172983579469</v>
      </c>
      <c r="AV43" s="119">
        <v>27.53801772099732</v>
      </c>
      <c r="AW43" s="119">
        <v>26.593371757925073</v>
      </c>
      <c r="AX43" s="119">
        <v>27.408150211492828</v>
      </c>
      <c r="AY43" s="119">
        <v>30.152991011468128</v>
      </c>
      <c r="AZ43" s="119">
        <v>33.507427742670671</v>
      </c>
      <c r="BA43" s="119">
        <v>33.522257831076189</v>
      </c>
      <c r="BB43" s="119">
        <v>33.671422646204896</v>
      </c>
      <c r="BC43" s="119">
        <v>32.82218313502328</v>
      </c>
      <c r="BD43" s="119">
        <v>32.780889348500516</v>
      </c>
      <c r="BE43" s="164">
        <v>31.901160000000001</v>
      </c>
      <c r="BF43" s="164">
        <v>32.55124</v>
      </c>
      <c r="BG43" s="248"/>
    </row>
    <row r="44" spans="2:59" ht="13.9">
      <c r="B44" s="61">
        <v>16</v>
      </c>
      <c r="C44" s="188" t="s">
        <v>111</v>
      </c>
      <c r="D44" s="144" t="s">
        <v>124</v>
      </c>
      <c r="E44" s="144" t="s">
        <v>124</v>
      </c>
      <c r="F44" s="144" t="s">
        <v>124</v>
      </c>
      <c r="G44" s="144" t="s">
        <v>124</v>
      </c>
      <c r="H44" s="144" t="s">
        <v>124</v>
      </c>
      <c r="I44" s="144" t="s">
        <v>124</v>
      </c>
      <c r="J44" s="144" t="s">
        <v>124</v>
      </c>
      <c r="K44" s="144" t="s">
        <v>124</v>
      </c>
      <c r="L44" s="144" t="s">
        <v>124</v>
      </c>
      <c r="M44" s="144" t="s">
        <v>124</v>
      </c>
      <c r="N44" s="144" t="s">
        <v>124</v>
      </c>
      <c r="O44" s="144" t="s">
        <v>124</v>
      </c>
      <c r="P44" s="144" t="s">
        <v>124</v>
      </c>
      <c r="Q44" s="144" t="s">
        <v>124</v>
      </c>
      <c r="R44" s="144" t="s">
        <v>124</v>
      </c>
      <c r="S44" s="144" t="s">
        <v>124</v>
      </c>
      <c r="T44" s="144" t="s">
        <v>124</v>
      </c>
      <c r="U44" s="144" t="s">
        <v>124</v>
      </c>
      <c r="V44" s="144" t="s">
        <v>124</v>
      </c>
      <c r="W44" s="144" t="s">
        <v>124</v>
      </c>
      <c r="X44" s="144" t="s">
        <v>124</v>
      </c>
      <c r="Y44" s="144" t="s">
        <v>124</v>
      </c>
      <c r="Z44" s="144" t="s">
        <v>124</v>
      </c>
      <c r="AA44" s="144" t="s">
        <v>124</v>
      </c>
      <c r="AB44" s="144" t="s">
        <v>124</v>
      </c>
      <c r="AC44" s="144" t="s">
        <v>124</v>
      </c>
      <c r="AD44" s="144" t="s">
        <v>124</v>
      </c>
      <c r="AE44" s="144" t="s">
        <v>124</v>
      </c>
      <c r="AF44" s="144" t="s">
        <v>124</v>
      </c>
      <c r="AG44" s="144" t="s">
        <v>124</v>
      </c>
      <c r="AH44" s="144" t="s">
        <v>124</v>
      </c>
      <c r="AI44" s="144" t="s">
        <v>124</v>
      </c>
      <c r="AJ44" s="144" t="s">
        <v>124</v>
      </c>
      <c r="AK44" s="144" t="s">
        <v>124</v>
      </c>
      <c r="AL44" s="144" t="s">
        <v>124</v>
      </c>
      <c r="AM44" s="144" t="s">
        <v>124</v>
      </c>
      <c r="AN44" s="144" t="s">
        <v>124</v>
      </c>
      <c r="AO44" s="144" t="s">
        <v>124</v>
      </c>
      <c r="AP44" s="144" t="s">
        <v>124</v>
      </c>
      <c r="AQ44" s="144" t="s">
        <v>124</v>
      </c>
      <c r="AR44" s="144" t="s">
        <v>124</v>
      </c>
      <c r="AS44" s="144" t="s">
        <v>124</v>
      </c>
      <c r="AT44" s="144" t="s">
        <v>124</v>
      </c>
      <c r="AU44" s="144" t="s">
        <v>124</v>
      </c>
      <c r="AV44" s="144" t="s">
        <v>124</v>
      </c>
      <c r="AW44" s="144" t="s">
        <v>124</v>
      </c>
      <c r="AX44" s="144" t="s">
        <v>124</v>
      </c>
      <c r="AY44" s="144" t="s">
        <v>124</v>
      </c>
      <c r="AZ44" s="144" t="s">
        <v>124</v>
      </c>
      <c r="BA44" s="144" t="s">
        <v>124</v>
      </c>
      <c r="BB44" s="144" t="s">
        <v>124</v>
      </c>
      <c r="BC44" s="119">
        <v>16.117868598034143</v>
      </c>
      <c r="BD44" s="119">
        <v>16.215098241985523</v>
      </c>
      <c r="BE44" s="164">
        <v>15.88</v>
      </c>
      <c r="BF44" s="164">
        <v>16.079999999999998</v>
      </c>
      <c r="BG44" s="248"/>
    </row>
    <row r="45" spans="2:59" ht="13.9">
      <c r="B45" s="61">
        <v>17</v>
      </c>
      <c r="C45" s="188" t="s">
        <v>112</v>
      </c>
      <c r="D45" s="144" t="s">
        <v>124</v>
      </c>
      <c r="E45" s="144" t="s">
        <v>124</v>
      </c>
      <c r="F45" s="144" t="s">
        <v>124</v>
      </c>
      <c r="G45" s="144" t="s">
        <v>124</v>
      </c>
      <c r="H45" s="144" t="s">
        <v>124</v>
      </c>
      <c r="I45" s="144" t="s">
        <v>124</v>
      </c>
      <c r="J45" s="144" t="s">
        <v>124</v>
      </c>
      <c r="K45" s="144" t="s">
        <v>124</v>
      </c>
      <c r="L45" s="144" t="s">
        <v>124</v>
      </c>
      <c r="M45" s="144" t="s">
        <v>124</v>
      </c>
      <c r="N45" s="144" t="s">
        <v>124</v>
      </c>
      <c r="O45" s="144" t="s">
        <v>124</v>
      </c>
      <c r="P45" s="144" t="s">
        <v>124</v>
      </c>
      <c r="Q45" s="144" t="s">
        <v>124</v>
      </c>
      <c r="R45" s="144" t="s">
        <v>124</v>
      </c>
      <c r="S45" s="144" t="s">
        <v>124</v>
      </c>
      <c r="T45" s="144" t="s">
        <v>124</v>
      </c>
      <c r="U45" s="144" t="s">
        <v>124</v>
      </c>
      <c r="V45" s="144" t="s">
        <v>124</v>
      </c>
      <c r="W45" s="144" t="s">
        <v>124</v>
      </c>
      <c r="X45" s="144" t="s">
        <v>124</v>
      </c>
      <c r="Y45" s="144" t="s">
        <v>124</v>
      </c>
      <c r="Z45" s="144" t="s">
        <v>124</v>
      </c>
      <c r="AA45" s="144" t="s">
        <v>124</v>
      </c>
      <c r="AB45" s="144" t="s">
        <v>124</v>
      </c>
      <c r="AC45" s="144" t="s">
        <v>124</v>
      </c>
      <c r="AD45" s="144" t="s">
        <v>124</v>
      </c>
      <c r="AE45" s="144" t="s">
        <v>124</v>
      </c>
      <c r="AF45" s="144" t="s">
        <v>124</v>
      </c>
      <c r="AG45" s="144" t="s">
        <v>124</v>
      </c>
      <c r="AH45" s="144" t="s">
        <v>124</v>
      </c>
      <c r="AI45" s="144" t="s">
        <v>124</v>
      </c>
      <c r="AJ45" s="144" t="s">
        <v>124</v>
      </c>
      <c r="AK45" s="144" t="s">
        <v>124</v>
      </c>
      <c r="AL45" s="144" t="s">
        <v>124</v>
      </c>
      <c r="AM45" s="144" t="s">
        <v>124</v>
      </c>
      <c r="AN45" s="144" t="s">
        <v>124</v>
      </c>
      <c r="AO45" s="144" t="s">
        <v>124</v>
      </c>
      <c r="AP45" s="144" t="s">
        <v>124</v>
      </c>
      <c r="AQ45" s="144" t="s">
        <v>124</v>
      </c>
      <c r="AR45" s="144" t="s">
        <v>124</v>
      </c>
      <c r="AS45" s="144" t="s">
        <v>124</v>
      </c>
      <c r="AT45" s="144" t="s">
        <v>124</v>
      </c>
      <c r="AU45" s="144" t="s">
        <v>124</v>
      </c>
      <c r="AV45" s="144" t="s">
        <v>124</v>
      </c>
      <c r="AW45" s="144" t="s">
        <v>124</v>
      </c>
      <c r="AX45" s="144" t="s">
        <v>124</v>
      </c>
      <c r="AY45" s="144" t="s">
        <v>124</v>
      </c>
      <c r="AZ45" s="144" t="s">
        <v>124</v>
      </c>
      <c r="BA45" s="144" t="s">
        <v>124</v>
      </c>
      <c r="BB45" s="144" t="s">
        <v>124</v>
      </c>
      <c r="BC45" s="119">
        <v>11.464045525090533</v>
      </c>
      <c r="BD45" s="119">
        <v>11.416752843846949</v>
      </c>
      <c r="BE45" s="164">
        <v>11.04</v>
      </c>
      <c r="BF45" s="164">
        <v>11.4</v>
      </c>
      <c r="BG45" s="248"/>
    </row>
    <row r="46" spans="2:59" ht="13.9">
      <c r="B46" s="61">
        <v>18</v>
      </c>
      <c r="C46" s="60" t="s">
        <v>291</v>
      </c>
      <c r="D46" s="144" t="s">
        <v>124</v>
      </c>
      <c r="E46" s="144" t="s">
        <v>124</v>
      </c>
      <c r="F46" s="144" t="s">
        <v>124</v>
      </c>
      <c r="G46" s="144" t="s">
        <v>124</v>
      </c>
      <c r="H46" s="144" t="s">
        <v>124</v>
      </c>
      <c r="I46" s="144" t="s">
        <v>124</v>
      </c>
      <c r="J46" s="144" t="s">
        <v>124</v>
      </c>
      <c r="K46" s="144" t="s">
        <v>124</v>
      </c>
      <c r="L46" s="144" t="s">
        <v>124</v>
      </c>
      <c r="M46" s="144" t="s">
        <v>124</v>
      </c>
      <c r="N46" s="144" t="s">
        <v>124</v>
      </c>
      <c r="O46" s="144" t="s">
        <v>124</v>
      </c>
      <c r="P46" s="144" t="s">
        <v>124</v>
      </c>
      <c r="Q46" s="144" t="s">
        <v>124</v>
      </c>
      <c r="R46" s="144" t="s">
        <v>124</v>
      </c>
      <c r="S46" s="144" t="s">
        <v>124</v>
      </c>
      <c r="T46" s="144" t="s">
        <v>124</v>
      </c>
      <c r="U46" s="144" t="s">
        <v>124</v>
      </c>
      <c r="V46" s="144" t="s">
        <v>124</v>
      </c>
      <c r="W46" s="144" t="s">
        <v>124</v>
      </c>
      <c r="X46" s="144" t="s">
        <v>124</v>
      </c>
      <c r="Y46" s="144" t="s">
        <v>124</v>
      </c>
      <c r="Z46" s="144" t="s">
        <v>124</v>
      </c>
      <c r="AA46" s="144" t="s">
        <v>124</v>
      </c>
      <c r="AB46" s="144" t="s">
        <v>124</v>
      </c>
      <c r="AC46" s="144" t="s">
        <v>124</v>
      </c>
      <c r="AD46" s="144" t="s">
        <v>124</v>
      </c>
      <c r="AE46" s="144" t="s">
        <v>124</v>
      </c>
      <c r="AF46" s="144" t="s">
        <v>124</v>
      </c>
      <c r="AG46" s="144" t="s">
        <v>124</v>
      </c>
      <c r="AH46" s="144" t="s">
        <v>124</v>
      </c>
      <c r="AI46" s="144" t="s">
        <v>124</v>
      </c>
      <c r="AJ46" s="144" t="s">
        <v>124</v>
      </c>
      <c r="AK46" s="144" t="s">
        <v>124</v>
      </c>
      <c r="AL46" s="144" t="s">
        <v>124</v>
      </c>
      <c r="AM46" s="144" t="s">
        <v>124</v>
      </c>
      <c r="AN46" s="144" t="s">
        <v>124</v>
      </c>
      <c r="AO46" s="144" t="s">
        <v>124</v>
      </c>
      <c r="AP46" s="144" t="s">
        <v>124</v>
      </c>
      <c r="AQ46" s="144" t="s">
        <v>124</v>
      </c>
      <c r="AR46" s="144" t="s">
        <v>124</v>
      </c>
      <c r="AS46" s="144" t="s">
        <v>124</v>
      </c>
      <c r="AT46" s="144" t="s">
        <v>124</v>
      </c>
      <c r="AU46" s="144" t="s">
        <v>124</v>
      </c>
      <c r="AV46" s="144" t="s">
        <v>124</v>
      </c>
      <c r="AW46" s="144" t="s">
        <v>124</v>
      </c>
      <c r="AX46" s="144" t="s">
        <v>124</v>
      </c>
      <c r="AY46" s="144" t="s">
        <v>124</v>
      </c>
      <c r="AZ46" s="144" t="s">
        <v>124</v>
      </c>
      <c r="BA46" s="144" t="s">
        <v>124</v>
      </c>
      <c r="BB46" s="144" t="s">
        <v>124</v>
      </c>
      <c r="BC46" s="144" t="s">
        <v>124</v>
      </c>
      <c r="BD46" s="144" t="s">
        <v>124</v>
      </c>
      <c r="BE46" s="144" t="s">
        <v>124</v>
      </c>
      <c r="BF46" s="144" t="s">
        <v>124</v>
      </c>
      <c r="BG46" s="249"/>
    </row>
    <row r="47" spans="2:59" ht="13.9">
      <c r="B47" s="61"/>
      <c r="C47" s="159" t="s">
        <v>191</v>
      </c>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row>
    <row r="50" spans="2:73" ht="13.9">
      <c r="B50" s="147" t="s">
        <v>396</v>
      </c>
    </row>
    <row r="51" spans="2:73" ht="13.9">
      <c r="B51" s="149" t="s">
        <v>2</v>
      </c>
      <c r="C51" s="149" t="s">
        <v>82</v>
      </c>
      <c r="D51" s="150" t="s">
        <v>352</v>
      </c>
      <c r="E51" s="150" t="s">
        <v>353</v>
      </c>
      <c r="F51" s="150" t="s">
        <v>354</v>
      </c>
      <c r="G51" s="150" t="s">
        <v>355</v>
      </c>
      <c r="H51" s="150" t="s">
        <v>356</v>
      </c>
      <c r="I51" s="150" t="s">
        <v>357</v>
      </c>
      <c r="J51" s="150" t="s">
        <v>358</v>
      </c>
      <c r="K51" s="150" t="s">
        <v>359</v>
      </c>
      <c r="L51" s="150" t="s">
        <v>360</v>
      </c>
      <c r="M51" s="150" t="s">
        <v>361</v>
      </c>
      <c r="N51" s="150" t="s">
        <v>362</v>
      </c>
      <c r="O51" s="150" t="s">
        <v>363</v>
      </c>
      <c r="P51" s="150" t="s">
        <v>364</v>
      </c>
      <c r="Q51" s="150" t="s">
        <v>365</v>
      </c>
      <c r="R51" s="150" t="s">
        <v>366</v>
      </c>
      <c r="S51" s="150" t="s">
        <v>367</v>
      </c>
      <c r="T51" s="150" t="s">
        <v>368</v>
      </c>
      <c r="U51" s="150" t="s">
        <v>369</v>
      </c>
      <c r="V51" s="150" t="s">
        <v>370</v>
      </c>
      <c r="W51" s="150" t="s">
        <v>371</v>
      </c>
      <c r="X51" s="150" t="s">
        <v>372</v>
      </c>
      <c r="Y51" s="150" t="s">
        <v>373</v>
      </c>
      <c r="Z51" s="150" t="s">
        <v>374</v>
      </c>
      <c r="AA51" s="150" t="s">
        <v>375</v>
      </c>
      <c r="AB51" s="150" t="s">
        <v>376</v>
      </c>
      <c r="AC51" s="150" t="s">
        <v>377</v>
      </c>
      <c r="AD51" s="150" t="s">
        <v>378</v>
      </c>
      <c r="AE51" s="150" t="s">
        <v>379</v>
      </c>
      <c r="AF51" s="150" t="s">
        <v>380</v>
      </c>
      <c r="AG51" s="150" t="s">
        <v>381</v>
      </c>
      <c r="AH51" s="150" t="s">
        <v>382</v>
      </c>
      <c r="AI51" s="150" t="s">
        <v>383</v>
      </c>
      <c r="AJ51" s="150" t="s">
        <v>384</v>
      </c>
      <c r="AK51" s="150" t="s">
        <v>385</v>
      </c>
      <c r="AL51" s="150" t="s">
        <v>386</v>
      </c>
      <c r="AM51" s="150" t="s">
        <v>387</v>
      </c>
      <c r="AN51" s="150" t="s">
        <v>388</v>
      </c>
      <c r="AO51" s="150" t="s">
        <v>389</v>
      </c>
      <c r="AP51" s="150" t="s">
        <v>390</v>
      </c>
      <c r="AQ51" s="150" t="s">
        <v>391</v>
      </c>
      <c r="AR51" s="150" t="s">
        <v>392</v>
      </c>
      <c r="AS51" s="150" t="s">
        <v>393</v>
      </c>
      <c r="AT51" s="150" t="s">
        <v>394</v>
      </c>
      <c r="AU51" s="150" t="s">
        <v>338</v>
      </c>
      <c r="AV51" s="150" t="s">
        <v>339</v>
      </c>
      <c r="AW51" s="150" t="s">
        <v>340</v>
      </c>
      <c r="AX51" s="150" t="s">
        <v>341</v>
      </c>
      <c r="AY51" s="150" t="s">
        <v>342</v>
      </c>
      <c r="AZ51" s="151" t="s">
        <v>343</v>
      </c>
      <c r="BA51" s="151" t="s">
        <v>344</v>
      </c>
      <c r="BB51" s="151" t="s">
        <v>345</v>
      </c>
      <c r="BC51" s="151" t="s">
        <v>346</v>
      </c>
      <c r="BD51" s="151" t="s">
        <v>347</v>
      </c>
      <c r="BE51" s="151" t="s">
        <v>348</v>
      </c>
      <c r="BF51" s="151" t="s">
        <v>349</v>
      </c>
      <c r="BG51" s="37"/>
      <c r="BH51" s="151" t="s">
        <v>120</v>
      </c>
      <c r="BI51" s="151" t="s">
        <v>119</v>
      </c>
      <c r="BJ51" s="151" t="s">
        <v>51</v>
      </c>
      <c r="BK51" s="151" t="s">
        <v>52</v>
      </c>
      <c r="BM51" s="161" t="s">
        <v>397</v>
      </c>
      <c r="BN51" s="161" t="s">
        <v>398</v>
      </c>
      <c r="BQ51"/>
      <c r="BR51"/>
      <c r="BS51"/>
      <c r="BT51"/>
      <c r="BU51"/>
    </row>
    <row r="52" spans="2:73" ht="13.9">
      <c r="B52" s="61">
        <v>1</v>
      </c>
      <c r="C52" s="10" t="s">
        <v>96</v>
      </c>
      <c r="D52" s="144">
        <f t="shared" ref="D52:AI52" si="0">IFERROR(AVERAGE(D5,D29),0)</f>
        <v>15904.49</v>
      </c>
      <c r="E52" s="144">
        <f t="shared" si="0"/>
        <v>18061.72</v>
      </c>
      <c r="F52" s="144">
        <f t="shared" si="0"/>
        <v>16146.15</v>
      </c>
      <c r="G52" s="144">
        <f t="shared" si="0"/>
        <v>14643.49</v>
      </c>
      <c r="H52" s="144">
        <f t="shared" si="0"/>
        <v>15047</v>
      </c>
      <c r="I52" s="144">
        <f t="shared" si="0"/>
        <v>16007.970000000001</v>
      </c>
      <c r="J52" s="144">
        <f t="shared" si="0"/>
        <v>16701.89</v>
      </c>
      <c r="K52" s="144">
        <f t="shared" si="0"/>
        <v>18806.629999999997</v>
      </c>
      <c r="L52" s="144">
        <f t="shared" si="0"/>
        <v>19861.55</v>
      </c>
      <c r="M52" s="144">
        <f t="shared" si="0"/>
        <v>20120.2575</v>
      </c>
      <c r="N52" s="144">
        <f t="shared" si="0"/>
        <v>19939.714375</v>
      </c>
      <c r="O52" s="144">
        <f t="shared" si="0"/>
        <v>21165.919999999995</v>
      </c>
      <c r="P52" s="144">
        <f t="shared" si="0"/>
        <v>21464.2075</v>
      </c>
      <c r="Q52" s="144">
        <f t="shared" si="0"/>
        <v>19320.980000000003</v>
      </c>
      <c r="R52" s="144">
        <f t="shared" si="0"/>
        <v>17132.855624999997</v>
      </c>
      <c r="S52" s="144">
        <f t="shared" si="0"/>
        <v>19588.18</v>
      </c>
      <c r="T52" s="144">
        <f t="shared" si="0"/>
        <v>19813.572499999998</v>
      </c>
      <c r="U52" s="144">
        <f t="shared" si="0"/>
        <v>17686.817500000001</v>
      </c>
      <c r="V52" s="144">
        <f t="shared" si="0"/>
        <v>18424.114000000001</v>
      </c>
      <c r="W52" s="144">
        <f t="shared" si="0"/>
        <v>20445.297500000001</v>
      </c>
      <c r="X52" s="144">
        <f t="shared" si="0"/>
        <v>20874.651250000003</v>
      </c>
      <c r="Y52" s="144">
        <f t="shared" si="0"/>
        <v>21932.4575</v>
      </c>
      <c r="Z52" s="144">
        <f t="shared" si="0"/>
        <v>22540.73</v>
      </c>
      <c r="AA52" s="144">
        <f t="shared" si="0"/>
        <v>23618.050000000003</v>
      </c>
      <c r="AB52" s="220">
        <f t="shared" si="0"/>
        <v>22785.475624999999</v>
      </c>
      <c r="AC52" s="220">
        <f t="shared" si="0"/>
        <v>23327.36375</v>
      </c>
      <c r="AD52" s="220">
        <f t="shared" si="0"/>
        <v>22118.183125</v>
      </c>
      <c r="AE52" s="220">
        <f t="shared" si="0"/>
        <v>18612.501250000001</v>
      </c>
      <c r="AF52" s="220">
        <f t="shared" si="0"/>
        <v>20164.962500000001</v>
      </c>
      <c r="AG52" s="220">
        <f t="shared" si="0"/>
        <v>18416.77</v>
      </c>
      <c r="AH52" s="220">
        <f t="shared" si="0"/>
        <v>18548.010000000002</v>
      </c>
      <c r="AI52" s="220">
        <f t="shared" si="0"/>
        <v>22049.665917724786</v>
      </c>
      <c r="AJ52" s="220">
        <f t="shared" ref="AJ52:BF52" si="1">IFERROR(AVERAGE(AJ5,AJ29),0)</f>
        <v>22985.691380200267</v>
      </c>
      <c r="AK52" s="220">
        <f t="shared" si="1"/>
        <v>23483.031090008255</v>
      </c>
      <c r="AL52" s="220">
        <f t="shared" si="1"/>
        <v>23640.69601325463</v>
      </c>
      <c r="AM52" s="220">
        <f t="shared" si="1"/>
        <v>23759.791712307531</v>
      </c>
      <c r="AN52" s="144">
        <f t="shared" si="1"/>
        <v>23777.580184858241</v>
      </c>
      <c r="AO52" s="144">
        <f t="shared" si="1"/>
        <v>23119.247345499793</v>
      </c>
      <c r="AP52" s="144">
        <f t="shared" si="1"/>
        <v>23993.813129012218</v>
      </c>
      <c r="AQ52" s="144">
        <f t="shared" si="1"/>
        <v>20119.506014882179</v>
      </c>
      <c r="AR52" s="144">
        <f t="shared" si="1"/>
        <v>22727.9219466832</v>
      </c>
      <c r="AS52" s="144">
        <f t="shared" si="1"/>
        <v>23042.939123242348</v>
      </c>
      <c r="AT52" s="144">
        <f t="shared" si="1"/>
        <v>23791.83323312947</v>
      </c>
      <c r="AU52" s="144">
        <f t="shared" si="1"/>
        <v>23796.40090880925</v>
      </c>
      <c r="AV52" s="144">
        <f t="shared" si="1"/>
        <v>23220.999010921078</v>
      </c>
      <c r="AW52" s="144">
        <f t="shared" si="1"/>
        <v>23925.065047344586</v>
      </c>
      <c r="AX52" s="144">
        <f t="shared" si="1"/>
        <v>24128.503229134425</v>
      </c>
      <c r="AY52" s="144">
        <f t="shared" si="1"/>
        <v>23955.496518235355</v>
      </c>
      <c r="AZ52" s="144">
        <f t="shared" si="1"/>
        <v>23828.224759142235</v>
      </c>
      <c r="BA52" s="144">
        <f t="shared" si="1"/>
        <v>23610.246707329679</v>
      </c>
      <c r="BB52" s="144">
        <f t="shared" si="1"/>
        <v>23220.513977602655</v>
      </c>
      <c r="BC52" s="144">
        <f t="shared" si="1"/>
        <v>20533.157620279359</v>
      </c>
      <c r="BD52" s="144">
        <f t="shared" si="1"/>
        <v>20618.737662874872</v>
      </c>
      <c r="BE52" s="144">
        <f t="shared" si="1"/>
        <v>20104.804599999999</v>
      </c>
      <c r="BF52" s="144">
        <f t="shared" si="1"/>
        <v>20904.417119999998</v>
      </c>
      <c r="BG52" s="249"/>
      <c r="BH52" s="144">
        <f t="shared" ref="BH52:BH61" si="2">AVERAGE(D52:O52)</f>
        <v>17700.565156249999</v>
      </c>
      <c r="BI52" s="144">
        <f t="shared" ref="BI52:BI69" si="3">AVERAGE(P52:AA52)</f>
        <v>20236.826114583328</v>
      </c>
      <c r="BJ52" s="144">
        <f t="shared" ref="BJ52:BJ69" si="4">AVERAGE(AB52:AM52)</f>
        <v>21657.67853029129</v>
      </c>
      <c r="BK52" s="144">
        <f t="shared" ref="BK52:BK65" si="5">AVERAGE(AN52:AY52)</f>
        <v>23299.942140979343</v>
      </c>
      <c r="BM52" s="165">
        <f t="shared" ref="BM52:BM61" si="6">(BK52/BH52)^(1/3)-1</f>
        <v>9.5946203418577403E-2</v>
      </c>
      <c r="BN52" s="165">
        <f>((BK52-BH52)/BH52)/3</f>
        <v>0.10544629385750105</v>
      </c>
      <c r="BO52" s="166">
        <f>IFERROR(_xlfn.RRI(3,#REF!,BK52),0)</f>
        <v>0</v>
      </c>
      <c r="BQ52"/>
      <c r="BR52"/>
      <c r="BS52"/>
      <c r="BT52"/>
      <c r="BU52"/>
    </row>
    <row r="53" spans="2:73" ht="13.9">
      <c r="B53" s="61">
        <v>2</v>
      </c>
      <c r="C53" s="10" t="s">
        <v>97</v>
      </c>
      <c r="D53" s="144">
        <f t="shared" ref="D53:AI53" si="7">IFERROR(AVERAGE(D6,D30),0)</f>
        <v>568.26663967202512</v>
      </c>
      <c r="E53" s="144">
        <f t="shared" si="7"/>
        <v>660.55675683328627</v>
      </c>
      <c r="F53" s="144">
        <f t="shared" si="7"/>
        <v>662.10995873873333</v>
      </c>
      <c r="G53" s="144">
        <f t="shared" si="7"/>
        <v>633.77343611937272</v>
      </c>
      <c r="H53" s="144">
        <f t="shared" si="7"/>
        <v>627.43185434403881</v>
      </c>
      <c r="I53" s="144">
        <f t="shared" si="7"/>
        <v>666.80103103917179</v>
      </c>
      <c r="J53" s="144">
        <f t="shared" si="7"/>
        <v>716.79885816028082</v>
      </c>
      <c r="K53" s="144">
        <f t="shared" si="7"/>
        <v>704.90815439753203</v>
      </c>
      <c r="L53" s="144">
        <f t="shared" si="7"/>
        <v>666.2896014355199</v>
      </c>
      <c r="M53" s="144">
        <f t="shared" si="7"/>
        <v>614.28283380554956</v>
      </c>
      <c r="N53" s="144">
        <f t="shared" si="7"/>
        <v>658.47051062114201</v>
      </c>
      <c r="O53" s="144">
        <f t="shared" si="7"/>
        <v>714.79002055659794</v>
      </c>
      <c r="P53" s="144">
        <f t="shared" si="7"/>
        <v>691.6115611754019</v>
      </c>
      <c r="Q53" s="144">
        <f t="shared" si="7"/>
        <v>696.23589391879023</v>
      </c>
      <c r="R53" s="144">
        <f t="shared" si="7"/>
        <v>697.94731226381555</v>
      </c>
      <c r="S53" s="144">
        <f t="shared" si="7"/>
        <v>724.12134013212858</v>
      </c>
      <c r="T53" s="144">
        <f t="shared" si="7"/>
        <v>725.86041188319314</v>
      </c>
      <c r="U53" s="144">
        <f t="shared" si="7"/>
        <v>759.27072995036212</v>
      </c>
      <c r="V53" s="144">
        <f t="shared" si="7"/>
        <v>852.50554301652551</v>
      </c>
      <c r="W53" s="144">
        <f t="shared" si="7"/>
        <v>823.39721459598616</v>
      </c>
      <c r="X53" s="144">
        <f t="shared" si="7"/>
        <v>700.96517093890361</v>
      </c>
      <c r="Y53" s="144">
        <f t="shared" si="7"/>
        <v>650.70644367832756</v>
      </c>
      <c r="Z53" s="144">
        <f t="shared" si="7"/>
        <v>728.15854067884948</v>
      </c>
      <c r="AA53" s="144">
        <f t="shared" si="7"/>
        <v>864.29641105691576</v>
      </c>
      <c r="AB53" s="144">
        <f t="shared" si="7"/>
        <v>970.9469094365511</v>
      </c>
      <c r="AC53" s="144">
        <f t="shared" si="7"/>
        <v>946.46087326203337</v>
      </c>
      <c r="AD53" s="144">
        <f t="shared" si="7"/>
        <v>955.52570256600711</v>
      </c>
      <c r="AE53" s="144">
        <f t="shared" si="7"/>
        <v>838.88135160939407</v>
      </c>
      <c r="AF53" s="144">
        <f t="shared" si="7"/>
        <v>846.26727137872149</v>
      </c>
      <c r="AG53" s="144">
        <f t="shared" si="7"/>
        <v>833.82419920118866</v>
      </c>
      <c r="AH53" s="144">
        <f t="shared" si="7"/>
        <v>849.06583024124166</v>
      </c>
      <c r="AI53" s="144">
        <f t="shared" si="7"/>
        <v>774.73685796770542</v>
      </c>
      <c r="AJ53" s="144">
        <f t="shared" ref="AJ53:BF53" si="8">IFERROR(AVERAGE(AJ6,AJ30),0)</f>
        <v>759.10213688448437</v>
      </c>
      <c r="AK53" s="144">
        <f t="shared" si="8"/>
        <v>710.58594137076796</v>
      </c>
      <c r="AL53" s="144">
        <f t="shared" si="8"/>
        <v>793.1186703945325</v>
      </c>
      <c r="AM53" s="144">
        <f t="shared" si="8"/>
        <v>810.70639661051973</v>
      </c>
      <c r="AN53" s="144">
        <f t="shared" si="8"/>
        <v>1020.3814726347493</v>
      </c>
      <c r="AO53" s="144">
        <f t="shared" si="8"/>
        <v>1000.9619867274989</v>
      </c>
      <c r="AP53" s="144">
        <f t="shared" si="8"/>
        <v>970.61401946572789</v>
      </c>
      <c r="AQ53" s="144">
        <f t="shared" si="8"/>
        <v>874.95442331541949</v>
      </c>
      <c r="AR53" s="144">
        <f t="shared" si="8"/>
        <v>816.23508989460629</v>
      </c>
      <c r="AS53" s="144">
        <f t="shared" si="8"/>
        <v>866.22619933829617</v>
      </c>
      <c r="AT53" s="144">
        <f t="shared" si="8"/>
        <v>939.24507100653045</v>
      </c>
      <c r="AU53" s="144">
        <f t="shared" si="8"/>
        <v>868.33890323246919</v>
      </c>
      <c r="AV53" s="144">
        <f t="shared" si="8"/>
        <v>799.83785287451065</v>
      </c>
      <c r="AW53" s="144">
        <f t="shared" si="8"/>
        <v>792.54590366405932</v>
      </c>
      <c r="AX53" s="144">
        <f t="shared" si="8"/>
        <v>810.26053853296185</v>
      </c>
      <c r="AY53" s="144">
        <f t="shared" si="8"/>
        <v>895.02146916003721</v>
      </c>
      <c r="AZ53" s="144">
        <f t="shared" si="8"/>
        <v>1016.7862426188749</v>
      </c>
      <c r="BA53" s="144">
        <f t="shared" si="8"/>
        <v>999.46492298149485</v>
      </c>
      <c r="BB53" s="144">
        <f t="shared" si="8"/>
        <v>1049.48417669017</v>
      </c>
      <c r="BC53" s="144">
        <f t="shared" si="8"/>
        <v>931.70021727884114</v>
      </c>
      <c r="BD53" s="144">
        <f t="shared" si="8"/>
        <v>912.85398138572907</v>
      </c>
      <c r="BE53" s="144">
        <f t="shared" si="8"/>
        <v>926.31539999999995</v>
      </c>
      <c r="BF53" s="144">
        <f t="shared" si="8"/>
        <v>919.14524000000006</v>
      </c>
      <c r="BG53" s="249"/>
      <c r="BH53" s="144">
        <f t="shared" si="2"/>
        <v>657.87330464360411</v>
      </c>
      <c r="BI53" s="144">
        <f t="shared" si="3"/>
        <v>742.92304777409993</v>
      </c>
      <c r="BJ53" s="144">
        <f t="shared" si="4"/>
        <v>840.76851174359581</v>
      </c>
      <c r="BK53" s="144">
        <f t="shared" si="5"/>
        <v>887.88524415390566</v>
      </c>
      <c r="BM53" s="165">
        <f t="shared" si="6"/>
        <v>0.10510834449260353</v>
      </c>
      <c r="BN53" s="165">
        <f t="shared" ref="BN53:BN61" si="9">((BK53-BH53)/BH53)/3</f>
        <v>0.11654317930557977</v>
      </c>
      <c r="BO53" s="166">
        <f>IFERROR(_xlfn.RRI(3,#REF!,BK53),0)</f>
        <v>0</v>
      </c>
      <c r="BQ53"/>
      <c r="BR53"/>
      <c r="BS53"/>
      <c r="BT53"/>
      <c r="BU53"/>
    </row>
    <row r="54" spans="2:73" ht="13.9">
      <c r="B54" s="61">
        <v>3</v>
      </c>
      <c r="C54" s="10" t="s">
        <v>98</v>
      </c>
      <c r="D54" s="144">
        <f t="shared" ref="D54:AI54" si="10">IFERROR(AVERAGE(D7,D31),0)</f>
        <v>1159.4178258629572</v>
      </c>
      <c r="E54" s="144">
        <f t="shared" si="10"/>
        <v>1247.0542795344527</v>
      </c>
      <c r="F54" s="144">
        <f t="shared" si="10"/>
        <v>1216.268649037967</v>
      </c>
      <c r="G54" s="144">
        <f t="shared" si="10"/>
        <v>1029.9141917582983</v>
      </c>
      <c r="H54" s="144">
        <f t="shared" si="10"/>
        <v>1036.8537590113285</v>
      </c>
      <c r="I54" s="144">
        <f t="shared" si="10"/>
        <v>1221.562467813369</v>
      </c>
      <c r="J54" s="144">
        <f t="shared" si="10"/>
        <v>1305.6838091311963</v>
      </c>
      <c r="K54" s="144">
        <f t="shared" si="10"/>
        <v>1225.2224510813594</v>
      </c>
      <c r="L54" s="144">
        <f t="shared" si="10"/>
        <v>1217.9246349989717</v>
      </c>
      <c r="M54" s="144">
        <f t="shared" si="10"/>
        <v>1254.3041237113403</v>
      </c>
      <c r="N54" s="144">
        <f t="shared" si="10"/>
        <v>1290.0165101640698</v>
      </c>
      <c r="O54" s="144">
        <f t="shared" si="10"/>
        <v>1411.3023255813953</v>
      </c>
      <c r="P54" s="144">
        <f t="shared" si="10"/>
        <v>1352.5872753563312</v>
      </c>
      <c r="Q54" s="144">
        <f t="shared" si="10"/>
        <v>1378.724389992793</v>
      </c>
      <c r="R54" s="144">
        <f t="shared" si="10"/>
        <v>1312.4521864985011</v>
      </c>
      <c r="S54" s="144">
        <f t="shared" si="10"/>
        <v>1402.7628311258277</v>
      </c>
      <c r="T54" s="144">
        <f t="shared" si="10"/>
        <v>1352.5569358178054</v>
      </c>
      <c r="U54" s="144">
        <f t="shared" si="10"/>
        <v>1355.6967255448817</v>
      </c>
      <c r="V54" s="144">
        <f t="shared" si="10"/>
        <v>1415.6688687035507</v>
      </c>
      <c r="W54" s="144">
        <f t="shared" si="10"/>
        <v>1436.9858733759538</v>
      </c>
      <c r="X54" s="144">
        <f t="shared" si="10"/>
        <v>1231.9758247422681</v>
      </c>
      <c r="Y54" s="144">
        <f t="shared" si="10"/>
        <v>1196.0855713140518</v>
      </c>
      <c r="Z54" s="144">
        <f t="shared" si="10"/>
        <v>1228.9176199344479</v>
      </c>
      <c r="AA54" s="144">
        <f t="shared" si="10"/>
        <v>1496.4198876835417</v>
      </c>
      <c r="AB54" s="144">
        <f t="shared" si="10"/>
        <v>1828.4322148951728</v>
      </c>
      <c r="AC54" s="144">
        <f t="shared" si="10"/>
        <v>1643.0597004891949</v>
      </c>
      <c r="AD54" s="144">
        <f t="shared" si="10"/>
        <v>1721.0700035939412</v>
      </c>
      <c r="AE54" s="144">
        <f t="shared" si="10"/>
        <v>1422.6451573234717</v>
      </c>
      <c r="AF54" s="144">
        <f t="shared" si="10"/>
        <v>1488.1541905904942</v>
      </c>
      <c r="AG54" s="144">
        <f t="shared" si="10"/>
        <v>1532.7539082720778</v>
      </c>
      <c r="AH54" s="144">
        <f t="shared" si="10"/>
        <v>1546.8259702725022</v>
      </c>
      <c r="AI54" s="144">
        <f t="shared" si="10"/>
        <v>1401.784682080925</v>
      </c>
      <c r="AJ54" s="144">
        <f t="shared" ref="AJ54:BF54" si="11">IFERROR(AVERAGE(AJ7,AJ31),0)</f>
        <v>1377.6569835862497</v>
      </c>
      <c r="AK54" s="144">
        <f t="shared" si="11"/>
        <v>1290.0803468208092</v>
      </c>
      <c r="AL54" s="144">
        <f t="shared" si="11"/>
        <v>1470.6564564564565</v>
      </c>
      <c r="AM54" s="144">
        <f t="shared" si="11"/>
        <v>1520.7023457683167</v>
      </c>
      <c r="AN54" s="144">
        <f t="shared" si="11"/>
        <v>1788.4769550316751</v>
      </c>
      <c r="AO54" s="144">
        <f t="shared" si="11"/>
        <v>1788.1505599336374</v>
      </c>
      <c r="AP54" s="144">
        <f t="shared" si="11"/>
        <v>1851.5669082625805</v>
      </c>
      <c r="AQ54" s="144">
        <f t="shared" si="11"/>
        <v>1554.7464034725094</v>
      </c>
      <c r="AR54" s="144">
        <f t="shared" si="11"/>
        <v>1595.5950816284358</v>
      </c>
      <c r="AS54" s="144">
        <f t="shared" si="11"/>
        <v>1652.9881513647642</v>
      </c>
      <c r="AT54" s="144">
        <f t="shared" si="11"/>
        <v>1757.3825023323311</v>
      </c>
      <c r="AU54" s="144">
        <f t="shared" si="11"/>
        <v>1585.0049571413817</v>
      </c>
      <c r="AV54" s="144">
        <f t="shared" si="11"/>
        <v>1404.23562744694</v>
      </c>
      <c r="AW54" s="144">
        <f t="shared" si="11"/>
        <v>1382.5883902840674</v>
      </c>
      <c r="AX54" s="144">
        <f t="shared" si="11"/>
        <v>1457.4521613535542</v>
      </c>
      <c r="AY54" s="144">
        <f t="shared" si="11"/>
        <v>1627.9597685711333</v>
      </c>
      <c r="AZ54" s="144">
        <f t="shared" si="11"/>
        <v>1829.5554957008183</v>
      </c>
      <c r="BA54" s="144">
        <f t="shared" si="11"/>
        <v>1895.5015403701022</v>
      </c>
      <c r="BB54" s="144">
        <f t="shared" si="11"/>
        <v>2001.5419328079633</v>
      </c>
      <c r="BC54" s="144">
        <f t="shared" si="11"/>
        <v>1649.4802690118986</v>
      </c>
      <c r="BD54" s="144">
        <f t="shared" si="11"/>
        <v>1619.352037228542</v>
      </c>
      <c r="BE54" s="144">
        <f t="shared" si="11"/>
        <v>1629.0871999999999</v>
      </c>
      <c r="BF54" s="144">
        <f t="shared" si="11"/>
        <v>1778.5705600000001</v>
      </c>
      <c r="BG54" s="249"/>
      <c r="BH54" s="144">
        <f t="shared" si="2"/>
        <v>1217.9604189738923</v>
      </c>
      <c r="BI54" s="144">
        <f t="shared" si="3"/>
        <v>1346.7361658408295</v>
      </c>
      <c r="BJ54" s="144">
        <f t="shared" si="4"/>
        <v>1520.3184966791343</v>
      </c>
      <c r="BK54" s="144">
        <f t="shared" si="5"/>
        <v>1620.5122889019176</v>
      </c>
      <c r="BM54" s="165">
        <f t="shared" si="6"/>
        <v>9.9865850544190726E-2</v>
      </c>
      <c r="BN54" s="165">
        <f t="shared" si="9"/>
        <v>0.11017103228668339</v>
      </c>
      <c r="BO54" s="166">
        <f>IFERROR(_xlfn.RRI(3,#REF!,BK54),0)</f>
        <v>0</v>
      </c>
      <c r="BQ54"/>
      <c r="BR54"/>
      <c r="BS54"/>
      <c r="BT54"/>
      <c r="BU54"/>
    </row>
    <row r="55" spans="2:73" ht="13.9">
      <c r="B55" s="61">
        <v>4</v>
      </c>
      <c r="C55" s="10" t="s">
        <v>99</v>
      </c>
      <c r="D55" s="144">
        <f t="shared" ref="D55:AI55" si="12">IFERROR(AVERAGE(D8,D32),0)</f>
        <v>528.32213910355472</v>
      </c>
      <c r="E55" s="144">
        <f t="shared" si="12"/>
        <v>564.4413286641261</v>
      </c>
      <c r="F55" s="144">
        <f t="shared" si="12"/>
        <v>579.52808519394989</v>
      </c>
      <c r="G55" s="144">
        <f t="shared" si="12"/>
        <v>558.01384235946966</v>
      </c>
      <c r="H55" s="144">
        <f t="shared" si="12"/>
        <v>558.92095571575692</v>
      </c>
      <c r="I55" s="144">
        <f t="shared" si="12"/>
        <v>619.46020393449385</v>
      </c>
      <c r="J55" s="144">
        <f t="shared" si="12"/>
        <v>687.01576419664025</v>
      </c>
      <c r="K55" s="144">
        <f t="shared" si="12"/>
        <v>654.0227353244079</v>
      </c>
      <c r="L55" s="144">
        <f t="shared" si="12"/>
        <v>645.5619165124408</v>
      </c>
      <c r="M55" s="144">
        <f t="shared" si="12"/>
        <v>629.10082051546397</v>
      </c>
      <c r="N55" s="144">
        <f t="shared" si="12"/>
        <v>652.62831493137969</v>
      </c>
      <c r="O55" s="144">
        <f t="shared" si="12"/>
        <v>724.24700981912144</v>
      </c>
      <c r="P55" s="144">
        <f t="shared" si="12"/>
        <v>693.33157818632526</v>
      </c>
      <c r="Q55" s="144">
        <f t="shared" si="12"/>
        <v>660.69139297848244</v>
      </c>
      <c r="R55" s="144">
        <f t="shared" si="12"/>
        <v>700.40085805851334</v>
      </c>
      <c r="S55" s="144">
        <f t="shared" si="12"/>
        <v>741.23237996688738</v>
      </c>
      <c r="T55" s="144">
        <f t="shared" si="12"/>
        <v>711.13498343685296</v>
      </c>
      <c r="U55" s="144">
        <f t="shared" si="12"/>
        <v>713.23789563061678</v>
      </c>
      <c r="V55" s="144">
        <f t="shared" si="12"/>
        <v>752.78003061519405</v>
      </c>
      <c r="W55" s="144">
        <f t="shared" si="12"/>
        <v>761.34281913796667</v>
      </c>
      <c r="X55" s="144">
        <f t="shared" si="12"/>
        <v>634.47323505154645</v>
      </c>
      <c r="Y55" s="144">
        <f t="shared" si="12"/>
        <v>593.62880462857743</v>
      </c>
      <c r="Z55" s="144">
        <f t="shared" si="12"/>
        <v>635.06686743247428</v>
      </c>
      <c r="AA55" s="144">
        <f t="shared" si="12"/>
        <v>784.62025447398355</v>
      </c>
      <c r="AB55" s="144">
        <f t="shared" si="12"/>
        <v>915.70895908855516</v>
      </c>
      <c r="AC55" s="144">
        <f t="shared" si="12"/>
        <v>864.67459906880492</v>
      </c>
      <c r="AD55" s="144">
        <f t="shared" si="12"/>
        <v>893.20556590109663</v>
      </c>
      <c r="AE55" s="144">
        <f t="shared" si="12"/>
        <v>733.32522261337749</v>
      </c>
      <c r="AF55" s="144">
        <f t="shared" si="12"/>
        <v>758.28794781528268</v>
      </c>
      <c r="AG55" s="144">
        <f t="shared" si="12"/>
        <v>737.95993374055286</v>
      </c>
      <c r="AH55" s="144">
        <f t="shared" si="12"/>
        <v>796.86209744013217</v>
      </c>
      <c r="AI55" s="144">
        <f t="shared" si="12"/>
        <v>716.3501238645747</v>
      </c>
      <c r="AJ55" s="144">
        <f t="shared" ref="AJ55:BF55" si="13">IFERROR(AVERAGE(AJ8,AJ32),0)</f>
        <v>681.98538247135343</v>
      </c>
      <c r="AK55" s="144">
        <f t="shared" si="13"/>
        <v>630.89046242774566</v>
      </c>
      <c r="AL55" s="144">
        <f t="shared" si="13"/>
        <v>719.49104276690491</v>
      </c>
      <c r="AM55" s="144">
        <f t="shared" si="13"/>
        <v>752.19770590058897</v>
      </c>
      <c r="AN55" s="144">
        <f t="shared" si="13"/>
        <v>884.78552289957429</v>
      </c>
      <c r="AO55" s="144">
        <f t="shared" si="13"/>
        <v>910.36105350476964</v>
      </c>
      <c r="AP55" s="144">
        <f t="shared" si="13"/>
        <v>946.87703458272938</v>
      </c>
      <c r="AQ55" s="144">
        <f t="shared" si="13"/>
        <v>778.1489045059941</v>
      </c>
      <c r="AR55" s="144">
        <f t="shared" si="13"/>
        <v>783.59173382930362</v>
      </c>
      <c r="AS55" s="144">
        <f t="shared" si="13"/>
        <v>820.53070719602988</v>
      </c>
      <c r="AT55" s="144">
        <f t="shared" si="13"/>
        <v>874.09229812376907</v>
      </c>
      <c r="AU55" s="144">
        <f t="shared" si="13"/>
        <v>812.19655065578854</v>
      </c>
      <c r="AV55" s="144">
        <f t="shared" si="13"/>
        <v>706.30311147743669</v>
      </c>
      <c r="AW55" s="144">
        <f t="shared" si="13"/>
        <v>675.91469740634011</v>
      </c>
      <c r="AX55" s="144">
        <f t="shared" si="13"/>
        <v>717.03097080367274</v>
      </c>
      <c r="AY55" s="144">
        <f t="shared" si="13"/>
        <v>805.63293728690985</v>
      </c>
      <c r="AZ55" s="144">
        <f t="shared" si="13"/>
        <v>901.51925826168031</v>
      </c>
      <c r="BA55" s="144">
        <f t="shared" si="13"/>
        <v>929.24375064612832</v>
      </c>
      <c r="BB55" s="144">
        <f t="shared" si="13"/>
        <v>984.42492741600995</v>
      </c>
      <c r="BC55" s="144">
        <f t="shared" si="13"/>
        <v>803.39019141231256</v>
      </c>
      <c r="BD55" s="144">
        <f t="shared" si="13"/>
        <v>767.67154084798347</v>
      </c>
      <c r="BE55" s="144">
        <f t="shared" si="13"/>
        <v>801.06071999999995</v>
      </c>
      <c r="BF55" s="144">
        <f t="shared" si="13"/>
        <v>837.77649999999994</v>
      </c>
      <c r="BG55" s="249"/>
      <c r="BH55" s="144">
        <f t="shared" si="2"/>
        <v>616.7719263559004</v>
      </c>
      <c r="BI55" s="144">
        <f t="shared" si="3"/>
        <v>698.49509163311825</v>
      </c>
      <c r="BJ55" s="144">
        <f t="shared" si="4"/>
        <v>766.74492025824748</v>
      </c>
      <c r="BK55" s="144">
        <f t="shared" si="5"/>
        <v>809.62212685602651</v>
      </c>
      <c r="BM55" s="165">
        <f t="shared" si="6"/>
        <v>9.4928912254450326E-2</v>
      </c>
      <c r="BN55" s="165">
        <f t="shared" si="9"/>
        <v>0.10422556121598632</v>
      </c>
      <c r="BO55" s="166">
        <f>IFERROR(_xlfn.RRI(3,#REF!,BK55),0)</f>
        <v>0</v>
      </c>
      <c r="BQ55"/>
      <c r="BR55"/>
      <c r="BS55"/>
      <c r="BT55"/>
      <c r="BU55"/>
    </row>
    <row r="56" spans="2:73" ht="13.9">
      <c r="B56" s="61">
        <v>5</v>
      </c>
      <c r="C56" s="10" t="s">
        <v>100</v>
      </c>
      <c r="D56" s="144">
        <f t="shared" ref="D56:AI56" si="14">IFERROR(AVERAGE(D9,D33),0)</f>
        <v>98</v>
      </c>
      <c r="E56" s="144">
        <f t="shared" si="14"/>
        <v>166.5</v>
      </c>
      <c r="F56" s="144">
        <f t="shared" si="14"/>
        <v>176.5</v>
      </c>
      <c r="G56" s="144">
        <f t="shared" si="14"/>
        <v>168</v>
      </c>
      <c r="H56" s="144">
        <f t="shared" si="14"/>
        <v>180</v>
      </c>
      <c r="I56" s="144">
        <f t="shared" si="14"/>
        <v>197.5</v>
      </c>
      <c r="J56" s="144">
        <f t="shared" si="14"/>
        <v>226</v>
      </c>
      <c r="K56" s="144">
        <f t="shared" si="14"/>
        <v>287.5</v>
      </c>
      <c r="L56" s="144">
        <f t="shared" si="14"/>
        <v>307.5</v>
      </c>
      <c r="M56" s="144">
        <f t="shared" si="14"/>
        <v>314</v>
      </c>
      <c r="N56" s="144">
        <f t="shared" si="14"/>
        <v>323.5</v>
      </c>
      <c r="O56" s="144">
        <f t="shared" si="14"/>
        <v>344.5</v>
      </c>
      <c r="P56" s="144">
        <f t="shared" si="14"/>
        <v>330.5</v>
      </c>
      <c r="Q56" s="144">
        <f t="shared" si="14"/>
        <v>327.5</v>
      </c>
      <c r="R56" s="144">
        <f t="shared" si="14"/>
        <v>318.5</v>
      </c>
      <c r="S56" s="144">
        <f t="shared" si="14"/>
        <v>351</v>
      </c>
      <c r="T56" s="144">
        <f t="shared" si="14"/>
        <v>371</v>
      </c>
      <c r="U56" s="144">
        <f t="shared" si="14"/>
        <v>348.5</v>
      </c>
      <c r="V56" s="144">
        <f t="shared" si="14"/>
        <v>368</v>
      </c>
      <c r="W56" s="144">
        <f t="shared" si="14"/>
        <v>375</v>
      </c>
      <c r="X56" s="144">
        <f t="shared" si="14"/>
        <v>367.5</v>
      </c>
      <c r="Y56" s="144">
        <f t="shared" si="14"/>
        <v>366</v>
      </c>
      <c r="Z56" s="144">
        <f t="shared" si="14"/>
        <v>368</v>
      </c>
      <c r="AA56" s="144">
        <f t="shared" si="14"/>
        <v>401.5</v>
      </c>
      <c r="AB56" s="144">
        <f t="shared" si="14"/>
        <v>402.5</v>
      </c>
      <c r="AC56" s="144">
        <f t="shared" si="14"/>
        <v>415.5</v>
      </c>
      <c r="AD56" s="144">
        <f t="shared" si="14"/>
        <v>418</v>
      </c>
      <c r="AE56" s="144">
        <f t="shared" si="14"/>
        <v>404.5</v>
      </c>
      <c r="AF56" s="144">
        <f t="shared" si="14"/>
        <v>419</v>
      </c>
      <c r="AG56" s="144">
        <f t="shared" si="14"/>
        <v>413.30500000000001</v>
      </c>
      <c r="AH56" s="144">
        <f t="shared" si="14"/>
        <v>430.755</v>
      </c>
      <c r="AI56" s="144">
        <f t="shared" si="14"/>
        <v>407.05499999999995</v>
      </c>
      <c r="AJ56" s="144">
        <f t="shared" ref="AJ56:BF56" si="15">IFERROR(AVERAGE(AJ9,AJ33),0)</f>
        <v>474.08946010116648</v>
      </c>
      <c r="AK56" s="144">
        <f t="shared" si="15"/>
        <v>458.72619735755575</v>
      </c>
      <c r="AL56" s="144">
        <f t="shared" si="15"/>
        <v>855.69528839184011</v>
      </c>
      <c r="AM56" s="144">
        <f t="shared" si="15"/>
        <v>484.19654851710243</v>
      </c>
      <c r="AN56" s="144">
        <f t="shared" si="15"/>
        <v>478.61252466507426</v>
      </c>
      <c r="AO56" s="144">
        <f t="shared" si="15"/>
        <v>469.16511820821233</v>
      </c>
      <c r="AP56" s="144">
        <f t="shared" si="15"/>
        <v>462.11847173327817</v>
      </c>
      <c r="AQ56" s="144">
        <f t="shared" si="15"/>
        <v>437.54477056634971</v>
      </c>
      <c r="AR56" s="144">
        <f t="shared" si="15"/>
        <v>469.47993387063445</v>
      </c>
      <c r="AS56" s="144">
        <f t="shared" si="15"/>
        <v>471.72866004962782</v>
      </c>
      <c r="AT56" s="144">
        <f t="shared" si="15"/>
        <v>476.88131025189182</v>
      </c>
      <c r="AU56" s="144">
        <f t="shared" si="15"/>
        <v>489.08542806981302</v>
      </c>
      <c r="AV56" s="144">
        <f t="shared" si="15"/>
        <v>485.58695652173913</v>
      </c>
      <c r="AW56" s="144">
        <f t="shared" si="15"/>
        <v>484.22107863318234</v>
      </c>
      <c r="AX56" s="144">
        <f t="shared" si="15"/>
        <v>486.65573093985347</v>
      </c>
      <c r="AY56" s="144">
        <f t="shared" si="15"/>
        <v>504.46918070048559</v>
      </c>
      <c r="AZ56" s="144">
        <f t="shared" si="15"/>
        <v>515.81013156531651</v>
      </c>
      <c r="BA56" s="144">
        <f t="shared" si="15"/>
        <v>521.44176573968775</v>
      </c>
      <c r="BB56" s="144">
        <f t="shared" si="15"/>
        <v>527.76020323517207</v>
      </c>
      <c r="BC56" s="144">
        <f t="shared" si="15"/>
        <v>512.43954474909469</v>
      </c>
      <c r="BD56" s="144">
        <f t="shared" si="15"/>
        <v>521.49764219234748</v>
      </c>
      <c r="BE56" s="144">
        <f t="shared" si="15"/>
        <v>505.14261999999997</v>
      </c>
      <c r="BF56" s="144">
        <f t="shared" si="15"/>
        <v>524.41192000000001</v>
      </c>
      <c r="BG56" s="249"/>
      <c r="BH56" s="144">
        <f t="shared" si="2"/>
        <v>232.45833333333334</v>
      </c>
      <c r="BI56" s="144">
        <f t="shared" si="3"/>
        <v>357.75</v>
      </c>
      <c r="BJ56" s="144">
        <f t="shared" si="4"/>
        <v>465.27687453063868</v>
      </c>
      <c r="BK56" s="144">
        <f t="shared" si="5"/>
        <v>476.29576368417844</v>
      </c>
      <c r="BM56" s="165">
        <f t="shared" si="6"/>
        <v>0.27011740195732714</v>
      </c>
      <c r="BN56" s="165">
        <f t="shared" si="9"/>
        <v>0.34965037512220126</v>
      </c>
      <c r="BO56" s="166">
        <f>IFERROR(_xlfn.RRI(3,#REF!,BK56),0)</f>
        <v>0</v>
      </c>
      <c r="BQ56"/>
      <c r="BR56"/>
      <c r="BS56"/>
      <c r="BT56"/>
      <c r="BU56"/>
    </row>
    <row r="57" spans="2:73" ht="13.9">
      <c r="B57" s="61">
        <v>6</v>
      </c>
      <c r="C57" s="10" t="s">
        <v>101</v>
      </c>
      <c r="D57" s="144">
        <f t="shared" ref="D57:AI57" si="16">IFERROR(AVERAGE(D10,D34),0)</f>
        <v>6.2751159196290569</v>
      </c>
      <c r="E57" s="144">
        <f t="shared" si="16"/>
        <v>7.1253476156143787</v>
      </c>
      <c r="F57" s="144">
        <f t="shared" si="16"/>
        <v>7.4699043111431216</v>
      </c>
      <c r="G57" s="144">
        <f t="shared" si="16"/>
        <v>6.1432535196793756</v>
      </c>
      <c r="H57" s="144">
        <f t="shared" si="16"/>
        <v>6.2080329557157565</v>
      </c>
      <c r="I57" s="144">
        <f t="shared" si="16"/>
        <v>6.0716860644762587</v>
      </c>
      <c r="J57" s="144">
        <f t="shared" si="16"/>
        <v>6.999896939091002</v>
      </c>
      <c r="K57" s="144">
        <f t="shared" si="16"/>
        <v>7.0792996910401644</v>
      </c>
      <c r="L57" s="144">
        <f t="shared" si="16"/>
        <v>6.7715402015216934</v>
      </c>
      <c r="M57" s="144">
        <f t="shared" si="16"/>
        <v>6.6288659793814437</v>
      </c>
      <c r="N57" s="144">
        <f t="shared" si="16"/>
        <v>6.9198225157362501</v>
      </c>
      <c r="O57" s="144">
        <f t="shared" si="16"/>
        <v>7.1565891472868213</v>
      </c>
      <c r="P57" s="144">
        <f t="shared" si="16"/>
        <v>6.7176203263788477</v>
      </c>
      <c r="Q57" s="144">
        <f t="shared" si="16"/>
        <v>6.3415010810254291</v>
      </c>
      <c r="R57" s="144">
        <f t="shared" si="16"/>
        <v>6.8934146593611079</v>
      </c>
      <c r="S57" s="144">
        <f t="shared" si="16"/>
        <v>6.4548841059602644</v>
      </c>
      <c r="T57" s="144">
        <f t="shared" si="16"/>
        <v>6.4120082815734989</v>
      </c>
      <c r="U57" s="144">
        <f t="shared" si="16"/>
        <v>6.5241194091519468</v>
      </c>
      <c r="V57" s="144">
        <f t="shared" si="16"/>
        <v>7.2739471511147809</v>
      </c>
      <c r="W57" s="144">
        <f t="shared" si="16"/>
        <v>7.424211177562384</v>
      </c>
      <c r="X57" s="144">
        <f t="shared" si="16"/>
        <v>6.779381443298969</v>
      </c>
      <c r="Y57" s="144">
        <f t="shared" si="16"/>
        <v>5.9871887591693351</v>
      </c>
      <c r="Z57" s="144">
        <f t="shared" si="16"/>
        <v>6.204077408672255</v>
      </c>
      <c r="AA57" s="144">
        <f t="shared" si="16"/>
        <v>8.6945277749043139</v>
      </c>
      <c r="AB57" s="144">
        <f t="shared" si="16"/>
        <v>9.6219575349559818</v>
      </c>
      <c r="AC57" s="144">
        <f t="shared" si="16"/>
        <v>10.186239006725298</v>
      </c>
      <c r="AD57" s="144">
        <f t="shared" si="16"/>
        <v>10.092075315539002</v>
      </c>
      <c r="AE57" s="144">
        <f t="shared" si="16"/>
        <v>8.4230689583764757</v>
      </c>
      <c r="AF57" s="144">
        <f t="shared" si="16"/>
        <v>9.0391385379995857</v>
      </c>
      <c r="AG57" s="144">
        <f t="shared" si="16"/>
        <v>8.7586706698415995</v>
      </c>
      <c r="AH57" s="144">
        <f t="shared" si="16"/>
        <v>9.0885631709331136</v>
      </c>
      <c r="AI57" s="144">
        <f t="shared" si="16"/>
        <v>8.6034269199009081</v>
      </c>
      <c r="AJ57" s="144">
        <f t="shared" ref="AJ57:BF57" si="17">IFERROR(AVERAGE(AJ10,AJ34),0)</f>
        <v>8.0450707133271404</v>
      </c>
      <c r="AK57" s="144">
        <f t="shared" si="17"/>
        <v>8.0122832369942198</v>
      </c>
      <c r="AL57" s="144">
        <f t="shared" si="17"/>
        <v>8.6874598736667714</v>
      </c>
      <c r="AM57" s="144">
        <f t="shared" si="17"/>
        <v>7.3584168647308044</v>
      </c>
      <c r="AN57" s="144">
        <f t="shared" si="17"/>
        <v>11.121881815349465</v>
      </c>
      <c r="AO57" s="144">
        <f t="shared" si="17"/>
        <v>10.843197843218581</v>
      </c>
      <c r="AP57" s="144">
        <f t="shared" si="17"/>
        <v>11.218078277076</v>
      </c>
      <c r="AQ57" s="144">
        <f t="shared" si="17"/>
        <v>9.2538032244729216</v>
      </c>
      <c r="AR57" s="144">
        <f t="shared" si="17"/>
        <v>9.451084934903907</v>
      </c>
      <c r="AS57" s="144">
        <f t="shared" si="17"/>
        <v>9.4198511166253098</v>
      </c>
      <c r="AT57" s="144">
        <f t="shared" si="17"/>
        <v>10.279672437027054</v>
      </c>
      <c r="AU57" s="144">
        <f t="shared" si="17"/>
        <v>9.6579365898998226</v>
      </c>
      <c r="AV57" s="144">
        <f t="shared" si="17"/>
        <v>8.5713579229342667</v>
      </c>
      <c r="AW57" s="144">
        <f t="shared" si="17"/>
        <v>8.0460889254837369</v>
      </c>
      <c r="AX57" s="144">
        <f t="shared" si="17"/>
        <v>8.2633446817290821</v>
      </c>
      <c r="AY57" s="144">
        <f t="shared" si="17"/>
        <v>9.4204153321624133</v>
      </c>
      <c r="AZ57" s="144">
        <f t="shared" si="17"/>
        <v>11.342670672329845</v>
      </c>
      <c r="BA57" s="144">
        <f t="shared" si="17"/>
        <v>11.113284399875942</v>
      </c>
      <c r="BB57" s="144">
        <f t="shared" si="17"/>
        <v>10.918311903774367</v>
      </c>
      <c r="BC57" s="144">
        <f t="shared" si="17"/>
        <v>9.247470253491981</v>
      </c>
      <c r="BD57" s="144">
        <f t="shared" si="17"/>
        <v>8.9650465356773523</v>
      </c>
      <c r="BE57" s="144">
        <f t="shared" si="17"/>
        <v>8.6784599999999994</v>
      </c>
      <c r="BF57" s="144">
        <f t="shared" si="17"/>
        <v>9.1846600000000009</v>
      </c>
      <c r="BG57" s="249"/>
      <c r="BH57" s="144">
        <f t="shared" si="2"/>
        <v>6.7374462383596105</v>
      </c>
      <c r="BI57" s="144">
        <f t="shared" si="3"/>
        <v>6.808906798181094</v>
      </c>
      <c r="BJ57" s="144">
        <f t="shared" si="4"/>
        <v>8.8263642335825754</v>
      </c>
      <c r="BK57" s="144">
        <f t="shared" si="5"/>
        <v>9.6288927584068791</v>
      </c>
      <c r="BM57" s="165">
        <f t="shared" si="6"/>
        <v>0.12640269016067229</v>
      </c>
      <c r="BN57" s="165">
        <f t="shared" si="9"/>
        <v>0.14305353580336491</v>
      </c>
      <c r="BO57" s="166">
        <f>IFERROR(_xlfn.RRI(3,#REF!,BK57),0)</f>
        <v>0</v>
      </c>
      <c r="BQ57"/>
      <c r="BR57"/>
      <c r="BS57"/>
      <c r="BT57"/>
      <c r="BU57"/>
    </row>
    <row r="58" spans="2:73" ht="13.9">
      <c r="B58" s="61">
        <v>7</v>
      </c>
      <c r="C58" s="10" t="s">
        <v>102</v>
      </c>
      <c r="D58" s="144">
        <f t="shared" ref="D58:AI58" si="18">IFERROR(AVERAGE(D11,D35),0)</f>
        <v>2.9108706852138075</v>
      </c>
      <c r="E58" s="144">
        <f t="shared" si="18"/>
        <v>3.0332681017612524</v>
      </c>
      <c r="F58" s="144">
        <f t="shared" si="18"/>
        <v>3.6526391604074497</v>
      </c>
      <c r="G58" s="144">
        <f t="shared" si="18"/>
        <v>3.0829308395848321</v>
      </c>
      <c r="H58" s="144">
        <f t="shared" si="18"/>
        <v>2.9454170957775485</v>
      </c>
      <c r="I58" s="144">
        <f t="shared" si="18"/>
        <v>2.9972190750849723</v>
      </c>
      <c r="J58" s="144">
        <f t="shared" si="18"/>
        <v>3.1072864062661032</v>
      </c>
      <c r="K58" s="144">
        <f t="shared" si="18"/>
        <v>3.1822863027806383</v>
      </c>
      <c r="L58" s="144">
        <f t="shared" si="18"/>
        <v>3.0228254164096233</v>
      </c>
      <c r="M58" s="144">
        <f t="shared" si="18"/>
        <v>2.9329896907216497</v>
      </c>
      <c r="N58" s="144">
        <f t="shared" si="18"/>
        <v>3.0389020740893615</v>
      </c>
      <c r="O58" s="144">
        <f t="shared" si="18"/>
        <v>3.126614987080103</v>
      </c>
      <c r="P58" s="144">
        <f t="shared" si="18"/>
        <v>3.2586242511877712</v>
      </c>
      <c r="Q58" s="144">
        <f t="shared" si="18"/>
        <v>2.8364048182847732</v>
      </c>
      <c r="R58" s="144">
        <f t="shared" si="18"/>
        <v>3.0755711775043935</v>
      </c>
      <c r="S58" s="144">
        <f t="shared" si="18"/>
        <v>3.2802152317880795</v>
      </c>
      <c r="T58" s="144">
        <f t="shared" si="18"/>
        <v>3.4420289855072461</v>
      </c>
      <c r="U58" s="144">
        <f t="shared" si="18"/>
        <v>3.5481871707468238</v>
      </c>
      <c r="V58" s="144">
        <f t="shared" si="18"/>
        <v>4.0772089182493811</v>
      </c>
      <c r="W58" s="144">
        <f t="shared" si="18"/>
        <v>4.1658073829655597</v>
      </c>
      <c r="X58" s="144">
        <f t="shared" si="18"/>
        <v>3.6443298969072164</v>
      </c>
      <c r="Y58" s="144">
        <f t="shared" si="18"/>
        <v>3.4146089472052901</v>
      </c>
      <c r="Z58" s="144">
        <f t="shared" si="18"/>
        <v>3.5082272586153369</v>
      </c>
      <c r="AA58" s="144">
        <f t="shared" si="18"/>
        <v>4.711906485983242</v>
      </c>
      <c r="AB58" s="144">
        <f t="shared" si="18"/>
        <v>5.1475919212843078</v>
      </c>
      <c r="AC58" s="144">
        <f t="shared" si="18"/>
        <v>5.4733574754267975</v>
      </c>
      <c r="AD58" s="144">
        <f t="shared" si="18"/>
        <v>5.4676184564452717</v>
      </c>
      <c r="AE58" s="144">
        <f t="shared" si="18"/>
        <v>5.4825015531165873</v>
      </c>
      <c r="AF58" s="144">
        <f t="shared" si="18"/>
        <v>5.6326361565541525</v>
      </c>
      <c r="AG58" s="144">
        <f t="shared" si="18"/>
        <v>5.0212237291645101</v>
      </c>
      <c r="AH58" s="144">
        <f t="shared" si="18"/>
        <v>5.9331131296449211</v>
      </c>
      <c r="AI58" s="144">
        <f t="shared" si="18"/>
        <v>4.9690338563170933</v>
      </c>
      <c r="AJ58" s="144">
        <f t="shared" ref="AJ58:BF58" si="19">IFERROR(AVERAGE(AJ11,AJ35),0)</f>
        <v>4.066109218540312</v>
      </c>
      <c r="AK58" s="144">
        <f t="shared" si="19"/>
        <v>4.0561312964492151</v>
      </c>
      <c r="AL58" s="144">
        <f t="shared" si="19"/>
        <v>4.5390908149528837</v>
      </c>
      <c r="AM58" s="144">
        <f t="shared" si="19"/>
        <v>3.721277255347732</v>
      </c>
      <c r="AN58" s="144">
        <f t="shared" si="19"/>
        <v>5.1592688752726144</v>
      </c>
      <c r="AO58" s="144">
        <f t="shared" si="19"/>
        <v>5.3784736623807552</v>
      </c>
      <c r="AP58" s="144">
        <f t="shared" si="19"/>
        <v>5.3594740111824395</v>
      </c>
      <c r="AQ58" s="144">
        <f t="shared" si="19"/>
        <v>4.7616577097974364</v>
      </c>
      <c r="AR58" s="144">
        <f t="shared" si="19"/>
        <v>4.6093407728869611</v>
      </c>
      <c r="AS58" s="144">
        <f t="shared" si="19"/>
        <v>4.877253928866832</v>
      </c>
      <c r="AT58" s="144">
        <f t="shared" si="19"/>
        <v>4.815300093293251</v>
      </c>
      <c r="AU58" s="144">
        <f t="shared" si="19"/>
        <v>4.7373747805432194</v>
      </c>
      <c r="AV58" s="144">
        <f t="shared" si="19"/>
        <v>4.1297135792293425</v>
      </c>
      <c r="AW58" s="144">
        <f t="shared" si="19"/>
        <v>4.2185055578427333</v>
      </c>
      <c r="AX58" s="144">
        <f t="shared" si="19"/>
        <v>4.3941401011038899</v>
      </c>
      <c r="AY58" s="144">
        <f t="shared" si="19"/>
        <v>4.6569480318214698</v>
      </c>
      <c r="AZ58" s="144">
        <f t="shared" si="19"/>
        <v>5.1511447218481301</v>
      </c>
      <c r="BA58" s="144">
        <f t="shared" si="19"/>
        <v>5.3723353664840268</v>
      </c>
      <c r="BB58" s="144">
        <f t="shared" si="19"/>
        <v>5.4382413936126088</v>
      </c>
      <c r="BC58" s="144">
        <f t="shared" si="19"/>
        <v>4.6104293843766166</v>
      </c>
      <c r="BD58" s="144">
        <f t="shared" si="19"/>
        <v>4.6387383660806618</v>
      </c>
      <c r="BE58" s="144">
        <f t="shared" si="19"/>
        <v>4.8883599999999996</v>
      </c>
      <c r="BF58" s="144">
        <f t="shared" si="19"/>
        <v>4.9005000000000001</v>
      </c>
      <c r="BG58" s="249"/>
      <c r="BH58" s="144">
        <f t="shared" si="2"/>
        <v>3.0861041529314455</v>
      </c>
      <c r="BI58" s="144">
        <f t="shared" si="3"/>
        <v>3.5802600437454259</v>
      </c>
      <c r="BJ58" s="144">
        <f t="shared" si="4"/>
        <v>4.9591404052703156</v>
      </c>
      <c r="BK58" s="144">
        <f t="shared" si="5"/>
        <v>4.7581209253517445</v>
      </c>
      <c r="BM58" s="165">
        <f t="shared" si="6"/>
        <v>0.15524730861957359</v>
      </c>
      <c r="BN58" s="165">
        <f t="shared" si="9"/>
        <v>0.18059627819452936</v>
      </c>
      <c r="BO58" s="166">
        <f>IFERROR(_xlfn.RRI(3,#REF!,BK58),0)</f>
        <v>0</v>
      </c>
      <c r="BQ58"/>
      <c r="BR58"/>
      <c r="BS58"/>
      <c r="BT58"/>
      <c r="BU58"/>
    </row>
    <row r="59" spans="2:73" ht="13.9">
      <c r="B59" s="61">
        <v>8</v>
      </c>
      <c r="C59" s="10" t="s">
        <v>103</v>
      </c>
      <c r="D59" s="144">
        <f t="shared" ref="D59:AI59" si="20">IFERROR(AVERAGE(D12,D36),0)</f>
        <v>1.0446161772282327</v>
      </c>
      <c r="E59" s="144">
        <f t="shared" si="20"/>
        <v>1.3068287156246783</v>
      </c>
      <c r="F59" s="144">
        <f t="shared" si="20"/>
        <v>1.3556950303529169</v>
      </c>
      <c r="G59" s="144">
        <f t="shared" si="20"/>
        <v>1.1733634775459869</v>
      </c>
      <c r="H59" s="144">
        <f t="shared" si="20"/>
        <v>1.421112255406797</v>
      </c>
      <c r="I59" s="144">
        <f t="shared" si="20"/>
        <v>1.7290143166134513</v>
      </c>
      <c r="J59" s="144">
        <f t="shared" si="20"/>
        <v>1.7958363392765124</v>
      </c>
      <c r="K59" s="144">
        <f t="shared" si="20"/>
        <v>1.7324407826982493</v>
      </c>
      <c r="L59" s="144">
        <f t="shared" si="20"/>
        <v>1.9193913222290768</v>
      </c>
      <c r="M59" s="144">
        <f t="shared" si="20"/>
        <v>2.0623711340206183</v>
      </c>
      <c r="N59" s="144">
        <f t="shared" si="20"/>
        <v>2.2882055515426689</v>
      </c>
      <c r="O59" s="144">
        <f t="shared" si="20"/>
        <v>2.3055297157622734</v>
      </c>
      <c r="P59" s="144">
        <f t="shared" si="20"/>
        <v>2.0729188184259453</v>
      </c>
      <c r="Q59" s="144">
        <f t="shared" si="20"/>
        <v>1.8540100895706781</v>
      </c>
      <c r="R59" s="144">
        <f t="shared" si="20"/>
        <v>2.1080326682518349</v>
      </c>
      <c r="S59" s="144">
        <f t="shared" si="20"/>
        <v>2.444846854304636</v>
      </c>
      <c r="T59" s="144">
        <f t="shared" si="20"/>
        <v>2.2944099378881986</v>
      </c>
      <c r="U59" s="144">
        <f t="shared" si="20"/>
        <v>2.5421960541266397</v>
      </c>
      <c r="V59" s="144">
        <f t="shared" si="20"/>
        <v>2.4876135425268373</v>
      </c>
      <c r="W59" s="144">
        <f t="shared" si="20"/>
        <v>3.587853165601155</v>
      </c>
      <c r="X59" s="144">
        <f t="shared" si="20"/>
        <v>2.8324742268041239</v>
      </c>
      <c r="Y59" s="144">
        <f t="shared" si="20"/>
        <v>2.1252195474739128</v>
      </c>
      <c r="Z59" s="144">
        <f t="shared" si="20"/>
        <v>2.7962330539170028</v>
      </c>
      <c r="AA59" s="144">
        <f t="shared" si="20"/>
        <v>4.0264818454536053</v>
      </c>
      <c r="AB59" s="144">
        <f t="shared" si="20"/>
        <v>4.4976696012428796</v>
      </c>
      <c r="AC59" s="144">
        <f t="shared" si="20"/>
        <v>4.689601655457837</v>
      </c>
      <c r="AD59" s="144">
        <f t="shared" si="20"/>
        <v>4.7072211876681154</v>
      </c>
      <c r="AE59" s="144">
        <f t="shared" si="20"/>
        <v>4.2814247256160698</v>
      </c>
      <c r="AF59" s="144">
        <f t="shared" si="20"/>
        <v>4.4833298819631402</v>
      </c>
      <c r="AG59" s="144">
        <f t="shared" si="20"/>
        <v>4.0847913862718706</v>
      </c>
      <c r="AH59" s="144">
        <f t="shared" si="20"/>
        <v>4.6268579686209748</v>
      </c>
      <c r="AI59" s="144">
        <f t="shared" si="20"/>
        <v>4.0514037985136255</v>
      </c>
      <c r="AJ59" s="144">
        <f t="shared" ref="AJ59:BF59" si="21">IFERROR(AVERAGE(AJ12,AJ36),0)</f>
        <v>3.7360586352844019</v>
      </c>
      <c r="AK59" s="144">
        <f t="shared" si="21"/>
        <v>3.9009702725020645</v>
      </c>
      <c r="AL59" s="144">
        <f t="shared" si="21"/>
        <v>4.1561975768872319</v>
      </c>
      <c r="AM59" s="144">
        <f t="shared" si="21"/>
        <v>3.4984395990492922</v>
      </c>
      <c r="AN59" s="144">
        <f t="shared" si="21"/>
        <v>5.2049018589677019</v>
      </c>
      <c r="AO59" s="144">
        <f t="shared" si="21"/>
        <v>5.2558481957693903</v>
      </c>
      <c r="AP59" s="144">
        <f t="shared" si="21"/>
        <v>5.4861047835990888</v>
      </c>
      <c r="AQ59" s="144">
        <f t="shared" si="21"/>
        <v>5.1156883009508061</v>
      </c>
      <c r="AR59" s="144">
        <f t="shared" si="21"/>
        <v>4.8876834056623268</v>
      </c>
      <c r="AS59" s="144">
        <f t="shared" si="21"/>
        <v>5.1788254755996697</v>
      </c>
      <c r="AT59" s="144">
        <f t="shared" si="21"/>
        <v>5.0548978957188764</v>
      </c>
      <c r="AU59" s="144">
        <f t="shared" si="21"/>
        <v>4.5327687700092945</v>
      </c>
      <c r="AV59" s="144">
        <f t="shared" si="21"/>
        <v>4.057407788996497</v>
      </c>
      <c r="AW59" s="144">
        <f t="shared" si="21"/>
        <v>4.1932894195142039</v>
      </c>
      <c r="AX59" s="144">
        <f t="shared" si="21"/>
        <v>4.439801918910554</v>
      </c>
      <c r="AY59" s="144">
        <f t="shared" si="21"/>
        <v>4.6187002789544369</v>
      </c>
      <c r="AZ59" s="144">
        <f t="shared" si="21"/>
        <v>5.5478504091992118</v>
      </c>
      <c r="BA59" s="144">
        <f t="shared" si="21"/>
        <v>5.6079189496536745</v>
      </c>
      <c r="BB59" s="144">
        <f t="shared" si="21"/>
        <v>5.5273952716715051</v>
      </c>
      <c r="BC59" s="144">
        <f t="shared" si="21"/>
        <v>4.6669632695292291</v>
      </c>
      <c r="BD59" s="144">
        <f t="shared" si="21"/>
        <v>5.2978076525336091</v>
      </c>
      <c r="BE59" s="144">
        <f t="shared" si="21"/>
        <v>8.0706799999999994</v>
      </c>
      <c r="BF59" s="144">
        <f t="shared" si="21"/>
        <v>6.4957599999999998</v>
      </c>
      <c r="BG59" s="249"/>
      <c r="BH59" s="144">
        <f t="shared" si="2"/>
        <v>1.6778670681917882</v>
      </c>
      <c r="BI59" s="144">
        <f t="shared" si="3"/>
        <v>2.5976908170287145</v>
      </c>
      <c r="BJ59" s="144">
        <f t="shared" si="4"/>
        <v>4.2261638574231251</v>
      </c>
      <c r="BK59" s="144">
        <f t="shared" si="5"/>
        <v>4.8354931743877367</v>
      </c>
      <c r="BM59" s="165">
        <f t="shared" si="6"/>
        <v>0.42307484359408853</v>
      </c>
      <c r="BN59" s="165">
        <f t="shared" si="9"/>
        <v>0.62730954993529853</v>
      </c>
      <c r="BO59" s="166">
        <f>IFERROR(_xlfn.RRI(3,#REF!,BK59),0)</f>
        <v>0</v>
      </c>
      <c r="BQ59"/>
      <c r="BR59"/>
      <c r="BS59"/>
      <c r="BT59"/>
      <c r="BU59"/>
    </row>
    <row r="60" spans="2:73" ht="13.9">
      <c r="B60" s="61">
        <v>9</v>
      </c>
      <c r="C60" s="10" t="s">
        <v>104</v>
      </c>
      <c r="D60" s="144">
        <f t="shared" ref="D60:AI60" si="22">IFERROR(AVERAGE(D13,D37),0)</f>
        <v>0.33487892838742916</v>
      </c>
      <c r="E60" s="144">
        <f t="shared" si="22"/>
        <v>0.45318776393037385</v>
      </c>
      <c r="F60" s="144">
        <f t="shared" si="22"/>
        <v>0.78197345405905949</v>
      </c>
      <c r="G60" s="144">
        <f t="shared" si="22"/>
        <v>1.474668584934745</v>
      </c>
      <c r="H60" s="144">
        <f t="shared" si="22"/>
        <v>1.6323377960865086</v>
      </c>
      <c r="I60" s="144">
        <f t="shared" si="22"/>
        <v>1.7870017509527243</v>
      </c>
      <c r="J60" s="144">
        <f t="shared" si="22"/>
        <v>1.7778006802019992</v>
      </c>
      <c r="K60" s="144">
        <f t="shared" si="22"/>
        <v>1.8280123583934089</v>
      </c>
      <c r="L60" s="144">
        <f t="shared" si="22"/>
        <v>1.3417643429981492</v>
      </c>
      <c r="M60" s="144">
        <f t="shared" si="22"/>
        <v>1.4536082474226806</v>
      </c>
      <c r="N60" s="144">
        <f t="shared" si="22"/>
        <v>1.4136827984728098</v>
      </c>
      <c r="O60" s="144">
        <f t="shared" si="22"/>
        <v>2.2222222222222219</v>
      </c>
      <c r="P60" s="144">
        <f t="shared" si="22"/>
        <v>3.0675480272670939</v>
      </c>
      <c r="Q60" s="144">
        <f t="shared" si="22"/>
        <v>2.5481313703284258</v>
      </c>
      <c r="R60" s="144">
        <f t="shared" si="22"/>
        <v>1.9849064406078774</v>
      </c>
      <c r="S60" s="144">
        <f t="shared" si="22"/>
        <v>1.9919288079470197</v>
      </c>
      <c r="T60" s="144">
        <f t="shared" si="22"/>
        <v>1.9254658385093169</v>
      </c>
      <c r="U60" s="144">
        <f t="shared" si="22"/>
        <v>2.0297489928726371</v>
      </c>
      <c r="V60" s="144">
        <f t="shared" si="22"/>
        <v>2.1315028901734103</v>
      </c>
      <c r="W60" s="144">
        <f t="shared" si="22"/>
        <v>2.1705506289956689</v>
      </c>
      <c r="X60" s="144">
        <f t="shared" si="22"/>
        <v>1.7577319587628866</v>
      </c>
      <c r="Y60" s="144">
        <f t="shared" si="22"/>
        <v>2.3246203120157043</v>
      </c>
      <c r="Z60" s="144">
        <f t="shared" si="22"/>
        <v>2.4474800786505222</v>
      </c>
      <c r="AA60" s="144">
        <f t="shared" si="22"/>
        <v>3.201613737457329</v>
      </c>
      <c r="AB60" s="144">
        <f t="shared" si="22"/>
        <v>3.2522009321595027</v>
      </c>
      <c r="AC60" s="144">
        <f t="shared" si="22"/>
        <v>3.1764097258147954</v>
      </c>
      <c r="AD60" s="144">
        <f t="shared" si="22"/>
        <v>3.2019449617214981</v>
      </c>
      <c r="AE60" s="144">
        <f t="shared" si="22"/>
        <v>2.9664526817146406</v>
      </c>
      <c r="AF60" s="144">
        <f t="shared" si="22"/>
        <v>3.1942431145164631</v>
      </c>
      <c r="AG60" s="144">
        <f t="shared" si="22"/>
        <v>3.7840356144528422</v>
      </c>
      <c r="AH60" s="144">
        <f t="shared" si="22"/>
        <v>3.0553261767134599</v>
      </c>
      <c r="AI60" s="144">
        <f t="shared" si="22"/>
        <v>3.416597853014038</v>
      </c>
      <c r="AJ60" s="144">
        <f t="shared" ref="AJ60:BF60" si="23">IFERROR(AVERAGE(AJ13,AJ37),0)</f>
        <v>3.2063796841127283</v>
      </c>
      <c r="AK60" s="144">
        <f t="shared" si="23"/>
        <v>3.3167630057803468</v>
      </c>
      <c r="AL60" s="144">
        <f t="shared" si="23"/>
        <v>3.5594905250077664</v>
      </c>
      <c r="AM60" s="144">
        <f t="shared" si="23"/>
        <v>3.866466880231477</v>
      </c>
      <c r="AN60" s="144">
        <f t="shared" si="23"/>
        <v>4.2866548966663203</v>
      </c>
      <c r="AO60" s="144">
        <f t="shared" si="23"/>
        <v>4.4854417254251349</v>
      </c>
      <c r="AP60" s="144">
        <f t="shared" si="23"/>
        <v>4.3346862704493683</v>
      </c>
      <c r="AQ60" s="144">
        <f t="shared" si="23"/>
        <v>4.3053534518396033</v>
      </c>
      <c r="AR60" s="144">
        <f t="shared" si="23"/>
        <v>4.9756767927257695</v>
      </c>
      <c r="AS60" s="144">
        <f t="shared" si="23"/>
        <v>4.9985732009925563</v>
      </c>
      <c r="AT60" s="144">
        <f t="shared" si="23"/>
        <v>5.4653052762516845</v>
      </c>
      <c r="AU60" s="144">
        <f t="shared" si="23"/>
        <v>5.3144480016523801</v>
      </c>
      <c r="AV60" s="144">
        <f t="shared" si="23"/>
        <v>5.2325159695033996</v>
      </c>
      <c r="AW60" s="144">
        <f t="shared" si="23"/>
        <v>5.3194112803622886</v>
      </c>
      <c r="AX60" s="144">
        <f t="shared" si="23"/>
        <v>5.436830702568864</v>
      </c>
      <c r="AY60" s="144">
        <f t="shared" si="23"/>
        <v>5.9533836140097121</v>
      </c>
      <c r="AZ60" s="144">
        <f t="shared" si="23"/>
        <v>6.6255464622397184</v>
      </c>
      <c r="BA60" s="144">
        <f t="shared" si="23"/>
        <v>7.5745477101209548</v>
      </c>
      <c r="BB60" s="144">
        <f t="shared" si="23"/>
        <v>10.287183741186229</v>
      </c>
      <c r="BC60" s="144">
        <f t="shared" si="23"/>
        <v>11.663404035178479</v>
      </c>
      <c r="BD60" s="144">
        <f t="shared" si="23"/>
        <v>10.603123061013445</v>
      </c>
      <c r="BE60" s="144">
        <f t="shared" si="23"/>
        <v>8.00718</v>
      </c>
      <c r="BF60" s="144">
        <f t="shared" si="23"/>
        <v>10.591619999999999</v>
      </c>
      <c r="BG60" s="249"/>
      <c r="BH60" s="144">
        <f t="shared" si="2"/>
        <v>1.3750949106718424</v>
      </c>
      <c r="BI60" s="144">
        <f t="shared" si="3"/>
        <v>2.2984357569656573</v>
      </c>
      <c r="BJ60" s="144">
        <f t="shared" si="4"/>
        <v>3.3330259296032971</v>
      </c>
      <c r="BK60" s="144">
        <f t="shared" si="5"/>
        <v>5.00902343187059</v>
      </c>
      <c r="BM60" s="165">
        <f t="shared" si="6"/>
        <v>0.53865102159675216</v>
      </c>
      <c r="BN60" s="165">
        <f t="shared" si="9"/>
        <v>0.88089156440440075</v>
      </c>
      <c r="BO60" s="166">
        <f>IFERROR(_xlfn.RRI(3,#REF!,BK60),0)</f>
        <v>0</v>
      </c>
      <c r="BQ60"/>
      <c r="BR60"/>
      <c r="BS60"/>
      <c r="BT60"/>
      <c r="BU60"/>
    </row>
    <row r="61" spans="2:73" ht="13.9">
      <c r="B61" s="61">
        <v>10</v>
      </c>
      <c r="C61" s="10" t="s">
        <v>105</v>
      </c>
      <c r="D61" s="144">
        <f t="shared" ref="D61:AI61" si="24">IFERROR(AVERAGE(D14,D38),0)</f>
        <v>9.4096299999999999</v>
      </c>
      <c r="E61" s="144">
        <f t="shared" si="24"/>
        <v>11.669993999999999</v>
      </c>
      <c r="F61" s="144">
        <f t="shared" si="24"/>
        <v>11.905398000000002</v>
      </c>
      <c r="G61" s="144">
        <f t="shared" si="24"/>
        <v>11.588566499999999</v>
      </c>
      <c r="H61" s="144">
        <f t="shared" si="24"/>
        <v>9.5131049999999995</v>
      </c>
      <c r="I61" s="144">
        <f t="shared" si="24"/>
        <v>11.577375</v>
      </c>
      <c r="J61" s="144">
        <f t="shared" si="24"/>
        <v>11.409075999999999</v>
      </c>
      <c r="K61" s="144">
        <f t="shared" si="24"/>
        <v>9.4976699999999994</v>
      </c>
      <c r="L61" s="144">
        <f t="shared" si="24"/>
        <v>9.0000239999999998</v>
      </c>
      <c r="M61" s="144">
        <f t="shared" si="24"/>
        <v>8.4253999999999998</v>
      </c>
      <c r="N61" s="144">
        <f t="shared" si="24"/>
        <v>9.2729454999999987</v>
      </c>
      <c r="O61" s="144">
        <f t="shared" si="24"/>
        <v>10.1443125</v>
      </c>
      <c r="P61" s="144">
        <f t="shared" si="24"/>
        <v>11.133122</v>
      </c>
      <c r="Q61" s="144">
        <f t="shared" si="24"/>
        <v>12.015215999999999</v>
      </c>
      <c r="R61" s="144">
        <f t="shared" si="24"/>
        <v>12.351092000000001</v>
      </c>
      <c r="S61" s="144">
        <f t="shared" si="24"/>
        <v>12.532399999999999</v>
      </c>
      <c r="T61" s="144">
        <f t="shared" si="24"/>
        <v>12.36664</v>
      </c>
      <c r="U61" s="144">
        <f t="shared" si="24"/>
        <v>11.4386115</v>
      </c>
      <c r="V61" s="144">
        <f t="shared" si="24"/>
        <v>10.899784</v>
      </c>
      <c r="W61" s="144">
        <f t="shared" si="24"/>
        <v>11.095254000000001</v>
      </c>
      <c r="X61" s="144">
        <f t="shared" si="24"/>
        <v>8.8322500000000002</v>
      </c>
      <c r="Y61" s="144">
        <f t="shared" si="24"/>
        <v>8.3909729999999989</v>
      </c>
      <c r="Z61" s="144">
        <f t="shared" si="24"/>
        <v>10.032058500000002</v>
      </c>
      <c r="AA61" s="144">
        <f t="shared" si="24"/>
        <v>11.6711235</v>
      </c>
      <c r="AB61" s="144">
        <f t="shared" si="24"/>
        <v>13.4122925</v>
      </c>
      <c r="AC61" s="144">
        <f t="shared" si="24"/>
        <v>14.799720000000001</v>
      </c>
      <c r="AD61" s="144">
        <f t="shared" si="24"/>
        <v>14.777619999999999</v>
      </c>
      <c r="AE61" s="144">
        <f t="shared" si="24"/>
        <v>12.555188000000001</v>
      </c>
      <c r="AF61" s="144">
        <f t="shared" si="24"/>
        <v>13.972041999999998</v>
      </c>
      <c r="AG61" s="144">
        <f t="shared" si="24"/>
        <v>12.212720999999998</v>
      </c>
      <c r="AH61" s="144">
        <f t="shared" si="24"/>
        <v>12.451740000000001</v>
      </c>
      <c r="AI61" s="144">
        <f t="shared" si="24"/>
        <v>10.801820000000001</v>
      </c>
      <c r="AJ61" s="144">
        <f t="shared" ref="AJ61:BF61" si="25">IFERROR(AVERAGE(AJ14,AJ38),0)</f>
        <v>10.907401672344379</v>
      </c>
      <c r="AK61" s="144">
        <f t="shared" si="25"/>
        <v>11.432700247729148</v>
      </c>
      <c r="AL61" s="144">
        <f t="shared" si="25"/>
        <v>11.560111835973904</v>
      </c>
      <c r="AM61" s="144">
        <f t="shared" si="25"/>
        <v>11.172470807068304</v>
      </c>
      <c r="AN61" s="144">
        <f t="shared" si="25"/>
        <v>14.443452071866236</v>
      </c>
      <c r="AO61" s="144">
        <f t="shared" si="25"/>
        <v>14.661551223558689</v>
      </c>
      <c r="AP61" s="144">
        <f t="shared" si="25"/>
        <v>16.419134396355354</v>
      </c>
      <c r="AQ61" s="144">
        <f t="shared" si="25"/>
        <v>15.035551880942538</v>
      </c>
      <c r="AR61" s="144">
        <f t="shared" si="25"/>
        <v>13.768547220500103</v>
      </c>
      <c r="AS61" s="144">
        <f t="shared" si="25"/>
        <v>14.455748552522747</v>
      </c>
      <c r="AT61" s="144">
        <f t="shared" si="25"/>
        <v>14.090183476728516</v>
      </c>
      <c r="AU61" s="144">
        <f t="shared" si="25"/>
        <v>12.142104719611691</v>
      </c>
      <c r="AV61" s="144">
        <f t="shared" si="25"/>
        <v>11.783226869977334</v>
      </c>
      <c r="AW61" s="144">
        <f t="shared" si="25"/>
        <v>10.656648826677646</v>
      </c>
      <c r="AX61" s="144">
        <f t="shared" si="25"/>
        <v>11.960383782110801</v>
      </c>
      <c r="AY61" s="144">
        <f t="shared" si="25"/>
        <v>14.297758032854635</v>
      </c>
      <c r="AZ61" s="144">
        <f t="shared" si="25"/>
        <v>15.460064228737179</v>
      </c>
      <c r="BA61" s="144">
        <f t="shared" si="25"/>
        <v>16.48009924532203</v>
      </c>
      <c r="BB61" s="144">
        <f t="shared" si="25"/>
        <v>17.532559104106177</v>
      </c>
      <c r="BC61" s="144">
        <f t="shared" si="25"/>
        <v>14.263010863942061</v>
      </c>
      <c r="BD61" s="144">
        <f t="shared" si="25"/>
        <v>13.696794208893484</v>
      </c>
      <c r="BE61" s="144">
        <f t="shared" si="25"/>
        <v>11.40976</v>
      </c>
      <c r="BF61" s="144">
        <f t="shared" si="25"/>
        <v>13.4664</v>
      </c>
      <c r="BG61" s="249"/>
      <c r="BH61" s="144">
        <f t="shared" si="2"/>
        <v>10.284458041666666</v>
      </c>
      <c r="BI61" s="144">
        <f t="shared" si="3"/>
        <v>11.063210375000002</v>
      </c>
      <c r="BJ61" s="144">
        <f t="shared" si="4"/>
        <v>12.504652338592978</v>
      </c>
      <c r="BK61" s="144">
        <f t="shared" si="5"/>
        <v>13.642857587808855</v>
      </c>
      <c r="BM61" s="165">
        <f t="shared" si="6"/>
        <v>9.8772998297864234E-2</v>
      </c>
      <c r="BN61" s="165">
        <f t="shared" si="9"/>
        <v>0.10885031674447988</v>
      </c>
      <c r="BO61" s="166">
        <f>IFERROR(_xlfn.RRI(3,#REF!,BK61),0)</f>
        <v>0</v>
      </c>
      <c r="BQ61"/>
      <c r="BR61"/>
      <c r="BS61"/>
      <c r="BT61"/>
      <c r="BU61"/>
    </row>
    <row r="62" spans="2:73" ht="13.9">
      <c r="B62" s="61">
        <v>11</v>
      </c>
      <c r="C62" s="10" t="s">
        <v>106</v>
      </c>
      <c r="D62" s="144">
        <f t="shared" ref="D62:AI62" si="26">IFERROR(AVERAGE(D15,D39),0)</f>
        <v>0</v>
      </c>
      <c r="E62" s="144">
        <f t="shared" si="26"/>
        <v>0</v>
      </c>
      <c r="F62" s="144">
        <f t="shared" si="26"/>
        <v>0</v>
      </c>
      <c r="G62" s="144">
        <f t="shared" si="26"/>
        <v>0</v>
      </c>
      <c r="H62" s="144">
        <f t="shared" si="26"/>
        <v>0</v>
      </c>
      <c r="I62" s="144">
        <f t="shared" si="26"/>
        <v>0</v>
      </c>
      <c r="J62" s="144">
        <f t="shared" si="26"/>
        <v>0</v>
      </c>
      <c r="K62" s="144">
        <f t="shared" si="26"/>
        <v>5.6899999999999995</v>
      </c>
      <c r="L62" s="144">
        <f t="shared" si="26"/>
        <v>5.49</v>
      </c>
      <c r="M62" s="144">
        <f t="shared" si="26"/>
        <v>5.4450000000000003</v>
      </c>
      <c r="N62" s="144">
        <f t="shared" si="26"/>
        <v>5.6449999999999996</v>
      </c>
      <c r="O62" s="144">
        <f t="shared" si="26"/>
        <v>6.3337279999999998</v>
      </c>
      <c r="P62" s="144">
        <f t="shared" si="26"/>
        <v>6.0354864999999993</v>
      </c>
      <c r="Q62" s="144">
        <f t="shared" si="26"/>
        <v>5.7993142500000001</v>
      </c>
      <c r="R62" s="144">
        <f t="shared" si="26"/>
        <v>5.4950000000000001</v>
      </c>
      <c r="S62" s="144">
        <f t="shared" si="26"/>
        <v>5.2921042499999995</v>
      </c>
      <c r="T62" s="144">
        <f t="shared" si="26"/>
        <v>5.5251559999999991</v>
      </c>
      <c r="U62" s="144">
        <f t="shared" si="26"/>
        <v>5.3912502500000006</v>
      </c>
      <c r="V62" s="144">
        <f t="shared" si="26"/>
        <v>6.0134042499999998</v>
      </c>
      <c r="W62" s="144">
        <f t="shared" si="26"/>
        <v>6.3288859999999998</v>
      </c>
      <c r="X62" s="144">
        <f t="shared" si="26"/>
        <v>5.4971522500000001</v>
      </c>
      <c r="Y62" s="144">
        <f t="shared" si="26"/>
        <v>4.9249999999999998</v>
      </c>
      <c r="Z62" s="144">
        <f t="shared" si="26"/>
        <v>5.915</v>
      </c>
      <c r="AA62" s="144">
        <f t="shared" si="26"/>
        <v>7.585</v>
      </c>
      <c r="AB62" s="144">
        <f t="shared" si="26"/>
        <v>7.1</v>
      </c>
      <c r="AC62" s="144">
        <f t="shared" si="26"/>
        <v>8.99</v>
      </c>
      <c r="AD62" s="144">
        <f t="shared" si="26"/>
        <v>9.01</v>
      </c>
      <c r="AE62" s="144">
        <f t="shared" si="26"/>
        <v>7.3650000000000002</v>
      </c>
      <c r="AF62" s="144">
        <f t="shared" si="26"/>
        <v>7.6349999999999998</v>
      </c>
      <c r="AG62" s="144">
        <f t="shared" si="26"/>
        <v>7.1750000000000007</v>
      </c>
      <c r="AH62" s="144">
        <f t="shared" si="26"/>
        <v>7.9249999999999998</v>
      </c>
      <c r="AI62" s="144">
        <f t="shared" si="26"/>
        <v>7.585</v>
      </c>
      <c r="AJ62" s="144">
        <f t="shared" ref="AJ62:BF62" si="27">IFERROR(AVERAGE(AJ15,AJ39),0)</f>
        <v>5.450418086094766</v>
      </c>
      <c r="AK62" s="144">
        <f t="shared" si="27"/>
        <v>4.7067712634186627</v>
      </c>
      <c r="AL62" s="144">
        <f t="shared" si="27"/>
        <v>5.2872527700113903</v>
      </c>
      <c r="AM62" s="144">
        <f t="shared" si="27"/>
        <v>4.275064586132066</v>
      </c>
      <c r="AN62" s="144">
        <f t="shared" si="27"/>
        <v>7.1550732163256825</v>
      </c>
      <c r="AO62" s="144">
        <f t="shared" si="27"/>
        <v>8.7822895064288673</v>
      </c>
      <c r="AP62" s="144">
        <f t="shared" si="27"/>
        <v>8.443445848001657</v>
      </c>
      <c r="AQ62" s="144">
        <f t="shared" si="27"/>
        <v>7.3397271599834637</v>
      </c>
      <c r="AR62" s="144">
        <f t="shared" si="27"/>
        <v>7.7504649721016738</v>
      </c>
      <c r="AS62" s="144">
        <f t="shared" si="27"/>
        <v>8.0666253101736967</v>
      </c>
      <c r="AT62" s="144">
        <f t="shared" si="27"/>
        <v>8.4427490411526911</v>
      </c>
      <c r="AU62" s="144">
        <f t="shared" si="27"/>
        <v>7.6592998037798203</v>
      </c>
      <c r="AV62" s="144">
        <f t="shared" si="27"/>
        <v>6.5028642077065726</v>
      </c>
      <c r="AW62" s="144">
        <f t="shared" si="27"/>
        <v>6.5940304652120219</v>
      </c>
      <c r="AX62" s="144">
        <f t="shared" si="27"/>
        <v>7.6603528319405747</v>
      </c>
      <c r="AY62" s="144">
        <f t="shared" si="27"/>
        <v>9.3065399318111375</v>
      </c>
      <c r="AZ62" s="144">
        <f t="shared" si="27"/>
        <v>11.055153838185021</v>
      </c>
      <c r="BA62" s="144">
        <f t="shared" si="27"/>
        <v>11.020862193735137</v>
      </c>
      <c r="BB62" s="144">
        <f t="shared" si="27"/>
        <v>10.145790128577353</v>
      </c>
      <c r="BC62" s="144">
        <f t="shared" si="27"/>
        <v>7.4707915157785827</v>
      </c>
      <c r="BD62" s="144">
        <f t="shared" si="27"/>
        <v>7.5459358841778688</v>
      </c>
      <c r="BE62" s="144">
        <f t="shared" si="27"/>
        <v>4.4095199999999997</v>
      </c>
      <c r="BF62" s="144">
        <f t="shared" si="27"/>
        <v>7.8853600000000004</v>
      </c>
      <c r="BG62" s="249"/>
      <c r="BH62" s="144" t="s">
        <v>124</v>
      </c>
      <c r="BI62" s="144">
        <f t="shared" si="3"/>
        <v>5.8168961458333328</v>
      </c>
      <c r="BJ62" s="144">
        <f t="shared" si="4"/>
        <v>6.8753755588047403</v>
      </c>
      <c r="BK62" s="144">
        <f t="shared" si="5"/>
        <v>7.8086218578848205</v>
      </c>
      <c r="BM62" s="165">
        <f>(BK62/BI62)^(1/3)-1</f>
        <v>0.10313253620693086</v>
      </c>
      <c r="BN62" s="165">
        <f>((BK62-BI62)/BI62)/2</f>
        <v>0.17120175967712345</v>
      </c>
      <c r="BO62" s="166">
        <f>IFERROR(_xlfn.RRI(3,#REF!,BK62),0)</f>
        <v>0</v>
      </c>
      <c r="BQ62"/>
      <c r="BR62"/>
      <c r="BS62"/>
      <c r="BT62"/>
      <c r="BU62"/>
    </row>
    <row r="63" spans="2:73" ht="13.9">
      <c r="B63" s="61">
        <v>12</v>
      </c>
      <c r="C63" s="10" t="s">
        <v>107</v>
      </c>
      <c r="D63" s="144">
        <f t="shared" ref="D63:AI63" si="28">IFERROR(AVERAGE(D16,D40),0)</f>
        <v>0</v>
      </c>
      <c r="E63" s="144">
        <f t="shared" si="28"/>
        <v>0</v>
      </c>
      <c r="F63" s="144">
        <f t="shared" si="28"/>
        <v>0</v>
      </c>
      <c r="G63" s="144">
        <f t="shared" si="28"/>
        <v>0</v>
      </c>
      <c r="H63" s="144">
        <f t="shared" si="28"/>
        <v>0</v>
      </c>
      <c r="I63" s="144">
        <f t="shared" si="28"/>
        <v>0</v>
      </c>
      <c r="J63" s="144">
        <f t="shared" si="28"/>
        <v>0</v>
      </c>
      <c r="K63" s="144">
        <f t="shared" si="28"/>
        <v>0</v>
      </c>
      <c r="L63" s="144">
        <f t="shared" si="28"/>
        <v>0</v>
      </c>
      <c r="M63" s="144">
        <f t="shared" si="28"/>
        <v>0</v>
      </c>
      <c r="N63" s="144">
        <f t="shared" si="28"/>
        <v>0</v>
      </c>
      <c r="O63" s="144">
        <f t="shared" si="28"/>
        <v>2.09</v>
      </c>
      <c r="P63" s="144">
        <f t="shared" si="28"/>
        <v>2.1749999999999998</v>
      </c>
      <c r="Q63" s="144">
        <f t="shared" si="28"/>
        <v>2.0950000000000002</v>
      </c>
      <c r="R63" s="144">
        <f t="shared" si="28"/>
        <v>2.25</v>
      </c>
      <c r="S63" s="144">
        <f t="shared" si="28"/>
        <v>2.25</v>
      </c>
      <c r="T63" s="144">
        <f t="shared" si="28"/>
        <v>2.0150000000000001</v>
      </c>
      <c r="U63" s="144">
        <f t="shared" si="28"/>
        <v>2.085</v>
      </c>
      <c r="V63" s="144">
        <f t="shared" si="28"/>
        <v>2.2400000000000002</v>
      </c>
      <c r="W63" s="144">
        <f t="shared" si="28"/>
        <v>2.8099999999999996</v>
      </c>
      <c r="X63" s="144">
        <f t="shared" si="28"/>
        <v>2.5099999999999998</v>
      </c>
      <c r="Y63" s="144">
        <f t="shared" si="28"/>
        <v>1.855</v>
      </c>
      <c r="Z63" s="144">
        <f t="shared" si="28"/>
        <v>2.8899999999999997</v>
      </c>
      <c r="AA63" s="144">
        <f t="shared" si="28"/>
        <v>4.0549999999999997</v>
      </c>
      <c r="AB63" s="144">
        <f t="shared" si="28"/>
        <v>4.7750000000000004</v>
      </c>
      <c r="AC63" s="144">
        <f t="shared" si="28"/>
        <v>3.58</v>
      </c>
      <c r="AD63" s="144">
        <f t="shared" si="28"/>
        <v>4.7149999999999999</v>
      </c>
      <c r="AE63" s="144">
        <f t="shared" si="28"/>
        <v>4.07</v>
      </c>
      <c r="AF63" s="144">
        <f t="shared" si="28"/>
        <v>4.5500000000000007</v>
      </c>
      <c r="AG63" s="144">
        <f t="shared" si="28"/>
        <v>4.0350000000000001</v>
      </c>
      <c r="AH63" s="144">
        <f t="shared" si="28"/>
        <v>4.47</v>
      </c>
      <c r="AI63" s="144">
        <f t="shared" si="28"/>
        <v>4.28</v>
      </c>
      <c r="AJ63" s="144">
        <f t="shared" ref="AJ63:BF63" si="29">IFERROR(AVERAGE(AJ16,AJ40),0)</f>
        <v>4.0928047899246405</v>
      </c>
      <c r="AK63" s="144">
        <f t="shared" si="29"/>
        <v>4.420024772914946</v>
      </c>
      <c r="AL63" s="144">
        <f t="shared" si="29"/>
        <v>6.9176555866211036</v>
      </c>
      <c r="AM63" s="144">
        <f t="shared" si="29"/>
        <v>5.4790327580861842</v>
      </c>
      <c r="AN63" s="144">
        <f t="shared" si="29"/>
        <v>6.6076435766953994</v>
      </c>
      <c r="AO63" s="144">
        <f t="shared" si="29"/>
        <v>7.4623807548734957</v>
      </c>
      <c r="AP63" s="144">
        <f t="shared" si="29"/>
        <v>6.4831227997515013</v>
      </c>
      <c r="AQ63" s="144">
        <f t="shared" si="29"/>
        <v>5.1966721785861925</v>
      </c>
      <c r="AR63" s="144">
        <f t="shared" si="29"/>
        <v>5.0613349865674726</v>
      </c>
      <c r="AS63" s="144">
        <f t="shared" si="29"/>
        <v>7.2227667493796526</v>
      </c>
      <c r="AT63" s="144">
        <f t="shared" si="29"/>
        <v>4.2022183062091845</v>
      </c>
      <c r="AU63" s="144">
        <f t="shared" si="29"/>
        <v>6.499617887018486</v>
      </c>
      <c r="AV63" s="144">
        <f t="shared" si="29"/>
        <v>4.0146301256954455</v>
      </c>
      <c r="AW63" s="144">
        <f t="shared" si="29"/>
        <v>4.0386167146974064</v>
      </c>
      <c r="AX63" s="144">
        <f t="shared" si="29"/>
        <v>4.6160321881770354</v>
      </c>
      <c r="AY63" s="144">
        <f t="shared" si="29"/>
        <v>5.4577745634879635</v>
      </c>
      <c r="AZ63" s="144">
        <f t="shared" si="29"/>
        <v>6.7290997617321038</v>
      </c>
      <c r="BA63" s="144">
        <f t="shared" si="29"/>
        <v>6.7864364726558453</v>
      </c>
      <c r="BB63" s="144">
        <f t="shared" si="29"/>
        <v>6.1101617586063872</v>
      </c>
      <c r="BC63" s="144">
        <f t="shared" si="29"/>
        <v>5.0290946714950859</v>
      </c>
      <c r="BD63" s="144">
        <f t="shared" si="29"/>
        <v>5.1818407445708381</v>
      </c>
      <c r="BE63" s="144">
        <f t="shared" si="29"/>
        <v>5.2725200000000001</v>
      </c>
      <c r="BF63" s="144">
        <f t="shared" si="29"/>
        <v>5.4996600000000004</v>
      </c>
      <c r="BG63" s="249"/>
      <c r="BH63" s="144" t="s">
        <v>124</v>
      </c>
      <c r="BI63" s="144">
        <f t="shared" si="3"/>
        <v>2.4358333333333335</v>
      </c>
      <c r="BJ63" s="144">
        <f t="shared" si="4"/>
        <v>4.6153764922955736</v>
      </c>
      <c r="BK63" s="144">
        <f t="shared" si="5"/>
        <v>5.5719009025949369</v>
      </c>
      <c r="BM63" s="165">
        <f>(BK63/BI63)^(1/3)-1</f>
        <v>0.31760511312833106</v>
      </c>
      <c r="BN63" s="165">
        <f t="shared" ref="BN63" si="30">((BK63-BI63)/BI63)/2</f>
        <v>0.64373607306088332</v>
      </c>
      <c r="BO63" s="166">
        <f>IFERROR(_xlfn.RRI(3,#REF!,BK63),0)</f>
        <v>0</v>
      </c>
      <c r="BQ63"/>
      <c r="BR63"/>
      <c r="BS63"/>
      <c r="BT63"/>
      <c r="BU63"/>
    </row>
    <row r="64" spans="2:73" ht="13.9">
      <c r="B64" s="61">
        <v>13</v>
      </c>
      <c r="C64" s="10" t="s">
        <v>108</v>
      </c>
      <c r="D64" s="144">
        <f t="shared" ref="D64:AI64" si="31">IFERROR(AVERAGE(D17,D41),0)</f>
        <v>0</v>
      </c>
      <c r="E64" s="144">
        <f t="shared" si="31"/>
        <v>0</v>
      </c>
      <c r="F64" s="144">
        <f t="shared" si="31"/>
        <v>0</v>
      </c>
      <c r="G64" s="144">
        <f t="shared" si="31"/>
        <v>0</v>
      </c>
      <c r="H64" s="144">
        <f t="shared" si="31"/>
        <v>0</v>
      </c>
      <c r="I64" s="144">
        <f t="shared" si="31"/>
        <v>0</v>
      </c>
      <c r="J64" s="144">
        <f t="shared" si="31"/>
        <v>0</v>
      </c>
      <c r="K64" s="144">
        <f t="shared" si="31"/>
        <v>0</v>
      </c>
      <c r="L64" s="144">
        <f t="shared" si="31"/>
        <v>0</v>
      </c>
      <c r="M64" s="144">
        <f t="shared" si="31"/>
        <v>0</v>
      </c>
      <c r="N64" s="144">
        <f t="shared" si="31"/>
        <v>0</v>
      </c>
      <c r="O64" s="144">
        <f t="shared" si="31"/>
        <v>0</v>
      </c>
      <c r="P64" s="144">
        <f t="shared" si="31"/>
        <v>0</v>
      </c>
      <c r="Q64" s="144">
        <f t="shared" si="31"/>
        <v>0</v>
      </c>
      <c r="R64" s="144">
        <f t="shared" si="31"/>
        <v>0</v>
      </c>
      <c r="S64" s="144">
        <f t="shared" si="31"/>
        <v>0</v>
      </c>
      <c r="T64" s="144">
        <f t="shared" si="31"/>
        <v>0.19400000000000001</v>
      </c>
      <c r="U64" s="144">
        <f t="shared" si="31"/>
        <v>0.24689999999999998</v>
      </c>
      <c r="V64" s="144">
        <f t="shared" si="31"/>
        <v>0.36619999999999997</v>
      </c>
      <c r="W64" s="144">
        <f t="shared" si="31"/>
        <v>0.37519999999999998</v>
      </c>
      <c r="X64" s="144">
        <f t="shared" si="31"/>
        <v>0.44</v>
      </c>
      <c r="Y64" s="144">
        <f t="shared" si="31"/>
        <v>0.47710000000000002</v>
      </c>
      <c r="Z64" s="144">
        <f t="shared" si="31"/>
        <v>0.54869999999999997</v>
      </c>
      <c r="AA64" s="144">
        <f t="shared" si="31"/>
        <v>0.6633</v>
      </c>
      <c r="AB64" s="144">
        <f t="shared" si="31"/>
        <v>0.82450000000000001</v>
      </c>
      <c r="AC64" s="144">
        <f t="shared" si="31"/>
        <v>0.66849999999999998</v>
      </c>
      <c r="AD64" s="144">
        <f t="shared" si="31"/>
        <v>1.0084</v>
      </c>
      <c r="AE64" s="144">
        <f t="shared" si="31"/>
        <v>0.84919999999999995</v>
      </c>
      <c r="AF64" s="144">
        <f t="shared" si="31"/>
        <v>0.90920000000000001</v>
      </c>
      <c r="AG64" s="144">
        <f t="shared" si="31"/>
        <v>0.81909999999999994</v>
      </c>
      <c r="AH64" s="144">
        <f t="shared" si="31"/>
        <v>0.91120000000000001</v>
      </c>
      <c r="AI64" s="144">
        <f t="shared" si="31"/>
        <v>1.0861999999999998</v>
      </c>
      <c r="AJ64" s="144">
        <f t="shared" ref="AJ64:BF64" si="32">IFERROR(AVERAGE(AJ17,AJ41),0)</f>
        <v>0.8898523794776505</v>
      </c>
      <c r="AK64" s="144">
        <f t="shared" si="32"/>
        <v>0.83195706028075966</v>
      </c>
      <c r="AL64" s="144">
        <f t="shared" si="32"/>
        <v>0.95681888785337066</v>
      </c>
      <c r="AM64" s="144">
        <f t="shared" si="32"/>
        <v>1.1284488994523096</v>
      </c>
      <c r="AN64" s="144">
        <f t="shared" si="32"/>
        <v>1.2046941530792399</v>
      </c>
      <c r="AO64" s="144">
        <f t="shared" si="32"/>
        <v>1.2360016590626297</v>
      </c>
      <c r="AP64" s="144">
        <f t="shared" si="32"/>
        <v>1.2714847794574446</v>
      </c>
      <c r="AQ64" s="144">
        <f t="shared" si="32"/>
        <v>1.1616370400992146</v>
      </c>
      <c r="AR64" s="144">
        <f t="shared" si="32"/>
        <v>1.3019218846869189</v>
      </c>
      <c r="AS64" s="144">
        <f t="shared" si="32"/>
        <v>1.424731182795699</v>
      </c>
      <c r="AT64" s="144">
        <f t="shared" si="32"/>
        <v>1.1361044884420028</v>
      </c>
      <c r="AU64" s="144">
        <f t="shared" si="32"/>
        <v>0.87369616854280685</v>
      </c>
      <c r="AV64" s="144">
        <f t="shared" si="32"/>
        <v>0.89841335256542343</v>
      </c>
      <c r="AW64" s="144">
        <f t="shared" si="32"/>
        <v>0.82132564841498557</v>
      </c>
      <c r="AX64" s="144">
        <f t="shared" si="32"/>
        <v>0.92437841741462923</v>
      </c>
      <c r="AY64" s="144">
        <f t="shared" si="32"/>
        <v>1.0786238247752866</v>
      </c>
      <c r="AZ64" s="144">
        <f t="shared" si="32"/>
        <v>1.1105355847922924</v>
      </c>
      <c r="BA64" s="144">
        <f t="shared" si="32"/>
        <v>0.91595161790551016</v>
      </c>
      <c r="BB64" s="144">
        <f t="shared" si="32"/>
        <v>1.0929075072583991</v>
      </c>
      <c r="BC64" s="144">
        <f t="shared" si="32"/>
        <v>1.0346611484738748</v>
      </c>
      <c r="BD64" s="144">
        <f t="shared" si="32"/>
        <v>1.1106514994829368</v>
      </c>
      <c r="BE64" s="144">
        <f t="shared" si="32"/>
        <v>7.0656000000000008</v>
      </c>
      <c r="BF64" s="144">
        <f t="shared" si="32"/>
        <v>1.37</v>
      </c>
      <c r="BG64" s="249"/>
      <c r="BH64" s="144" t="s">
        <v>124</v>
      </c>
      <c r="BI64" s="144" t="s">
        <v>124</v>
      </c>
      <c r="BJ64" s="144">
        <f t="shared" si="4"/>
        <v>0.90694810225534095</v>
      </c>
      <c r="BK64" s="144">
        <f t="shared" si="5"/>
        <v>1.1110843832780235</v>
      </c>
      <c r="BM64" s="165">
        <f>(BK64/BJ64)^(1/1)-1</f>
        <v>0.22508044342895639</v>
      </c>
      <c r="BN64" s="165">
        <f>((BK64-BJ64)/BJ64)/1</f>
        <v>0.22508044342895631</v>
      </c>
      <c r="BO64" s="166">
        <f>IFERROR(_xlfn.RRI(3,#REF!,BK64),0)</f>
        <v>0</v>
      </c>
      <c r="BQ64"/>
      <c r="BR64"/>
      <c r="BS64"/>
      <c r="BT64"/>
      <c r="BU64"/>
    </row>
    <row r="65" spans="2:73" ht="13.9">
      <c r="B65" s="61">
        <v>14</v>
      </c>
      <c r="C65" s="10" t="s">
        <v>109</v>
      </c>
      <c r="D65" s="144">
        <f t="shared" ref="D65:AI65" si="33">IFERROR(AVERAGE(D18,D42),0)</f>
        <v>0</v>
      </c>
      <c r="E65" s="144">
        <f t="shared" si="33"/>
        <v>0</v>
      </c>
      <c r="F65" s="144">
        <f t="shared" si="33"/>
        <v>0</v>
      </c>
      <c r="G65" s="144">
        <f t="shared" si="33"/>
        <v>0</v>
      </c>
      <c r="H65" s="144">
        <f t="shared" si="33"/>
        <v>0</v>
      </c>
      <c r="I65" s="144">
        <f t="shared" si="33"/>
        <v>0</v>
      </c>
      <c r="J65" s="144">
        <f t="shared" si="33"/>
        <v>0</v>
      </c>
      <c r="K65" s="144">
        <f t="shared" si="33"/>
        <v>0</v>
      </c>
      <c r="L65" s="144">
        <f t="shared" si="33"/>
        <v>0</v>
      </c>
      <c r="M65" s="144">
        <f t="shared" si="33"/>
        <v>0</v>
      </c>
      <c r="N65" s="144">
        <f t="shared" si="33"/>
        <v>0.54623782850000002</v>
      </c>
      <c r="O65" s="144">
        <f t="shared" si="33"/>
        <v>0.58470475</v>
      </c>
      <c r="P65" s="144">
        <f t="shared" si="33"/>
        <v>0.62858287800000001</v>
      </c>
      <c r="Q65" s="144">
        <f t="shared" si="33"/>
        <v>0.60810571799999991</v>
      </c>
      <c r="R65" s="144">
        <f t="shared" si="33"/>
        <v>0.60265273899999994</v>
      </c>
      <c r="S65" s="144">
        <f t="shared" si="33"/>
        <v>0.583927152</v>
      </c>
      <c r="T65" s="144">
        <f t="shared" si="33"/>
        <v>0.54734273</v>
      </c>
      <c r="U65" s="144">
        <f t="shared" si="33"/>
        <v>0.56036297599999996</v>
      </c>
      <c r="V65" s="144">
        <f t="shared" si="33"/>
        <v>0.56597927599999998</v>
      </c>
      <c r="W65" s="144">
        <f t="shared" si="33"/>
        <v>0.58800725399999998</v>
      </c>
      <c r="X65" s="144">
        <f t="shared" si="33"/>
        <v>0.51755439999999997</v>
      </c>
      <c r="Y65" s="144">
        <f t="shared" si="33"/>
        <v>0.48457094999999994</v>
      </c>
      <c r="Z65" s="144">
        <f t="shared" si="33"/>
        <v>0.58300680000000005</v>
      </c>
      <c r="AA65" s="144">
        <f t="shared" si="33"/>
        <v>0.60603045000000011</v>
      </c>
      <c r="AB65" s="144">
        <f t="shared" si="33"/>
        <v>0.7272535</v>
      </c>
      <c r="AC65" s="144">
        <f t="shared" si="33"/>
        <v>0.79062750000000004</v>
      </c>
      <c r="AD65" s="144">
        <f t="shared" si="33"/>
        <v>0.67222669999999995</v>
      </c>
      <c r="AE65" s="144">
        <f t="shared" si="33"/>
        <v>0.58639140000000001</v>
      </c>
      <c r="AF65" s="144">
        <f t="shared" si="33"/>
        <v>0.56829289999999999</v>
      </c>
      <c r="AG65" s="144">
        <f t="shared" si="33"/>
        <v>0.55908616499999997</v>
      </c>
      <c r="AH65" s="144">
        <f t="shared" si="33"/>
        <v>0.62727895999999994</v>
      </c>
      <c r="AI65" s="144">
        <f t="shared" si="33"/>
        <v>0.57186227199999995</v>
      </c>
      <c r="AJ65" s="144">
        <f t="shared" ref="AJ65:BF65" si="34">IFERROR(AVERAGE(AJ18,AJ42),0)</f>
        <v>0.48029317642200886</v>
      </c>
      <c r="AK65" s="144">
        <f t="shared" si="34"/>
        <v>0.47636251032204791</v>
      </c>
      <c r="AL65" s="144">
        <f t="shared" si="34"/>
        <v>0.60126333229781503</v>
      </c>
      <c r="AM65" s="144">
        <f t="shared" si="34"/>
        <v>0.56953601322723979</v>
      </c>
      <c r="AN65" s="144">
        <f t="shared" si="34"/>
        <v>0.68110914944438683</v>
      </c>
      <c r="AO65" s="144">
        <f t="shared" si="34"/>
        <v>0.71868519286603072</v>
      </c>
      <c r="AP65" s="144">
        <f t="shared" si="34"/>
        <v>0.78165251604887143</v>
      </c>
      <c r="AQ65" s="144">
        <f t="shared" si="34"/>
        <v>0.6033898305084745</v>
      </c>
      <c r="AR65" s="144">
        <f t="shared" si="34"/>
        <v>0.56271957015912377</v>
      </c>
      <c r="AS65" s="144">
        <f t="shared" si="34"/>
        <v>0.58413978494623653</v>
      </c>
      <c r="AT65" s="144">
        <f t="shared" si="34"/>
        <v>0.64106976262050375</v>
      </c>
      <c r="AU65" s="144">
        <f t="shared" si="34"/>
        <v>0.54687596819167617</v>
      </c>
      <c r="AV65" s="144">
        <f t="shared" si="34"/>
        <v>0.53119719760972595</v>
      </c>
      <c r="AW65" s="144">
        <f t="shared" si="34"/>
        <v>0.5089954713874022</v>
      </c>
      <c r="AX65" s="144">
        <f t="shared" si="34"/>
        <v>0.54505313112555442</v>
      </c>
      <c r="AY65" s="144">
        <f t="shared" si="34"/>
        <v>0.66992457898543245</v>
      </c>
      <c r="AZ65" s="144">
        <f t="shared" si="34"/>
        <v>0.70100486895265712</v>
      </c>
      <c r="BA65" s="144">
        <f t="shared" si="34"/>
        <v>0.69211206450945939</v>
      </c>
      <c r="BB65" s="144">
        <f t="shared" si="34"/>
        <v>0.67523849025300708</v>
      </c>
      <c r="BC65" s="144">
        <f t="shared" si="34"/>
        <v>0.55559234350750131</v>
      </c>
      <c r="BD65" s="144">
        <f t="shared" si="34"/>
        <v>0.56194415718717683</v>
      </c>
      <c r="BE65" s="144">
        <f t="shared" si="34"/>
        <v>0.69690000000000007</v>
      </c>
      <c r="BF65" s="144">
        <f t="shared" si="34"/>
        <v>0.57504</v>
      </c>
      <c r="BG65" s="249"/>
      <c r="BH65" s="144" t="s">
        <v>124</v>
      </c>
      <c r="BI65" s="144">
        <f t="shared" si="3"/>
        <v>0.57301027691666662</v>
      </c>
      <c r="BJ65" s="144">
        <f t="shared" si="4"/>
        <v>0.60253953577242603</v>
      </c>
      <c r="BK65" s="144">
        <f t="shared" si="5"/>
        <v>0.61456767949111812</v>
      </c>
      <c r="BM65" s="165">
        <f>(BK65/BI65)^(1/2)-1</f>
        <v>3.5627687555836784E-2</v>
      </c>
      <c r="BN65" s="165">
        <f>((BK65-BI65)/BI65)/2</f>
        <v>3.6262353616124794E-2</v>
      </c>
      <c r="BO65" s="166">
        <f>IFERROR(_xlfn.RRI(3,#REF!,BK65),0)</f>
        <v>0</v>
      </c>
      <c r="BQ65"/>
      <c r="BR65"/>
      <c r="BS65"/>
      <c r="BT65"/>
      <c r="BU65"/>
    </row>
    <row r="66" spans="2:73" ht="13.9">
      <c r="B66" s="61">
        <v>15</v>
      </c>
      <c r="C66" s="10" t="s">
        <v>110</v>
      </c>
      <c r="D66" s="144">
        <f t="shared" ref="D66:AI66" si="35">IFERROR(AVERAGE(D19,D43),0)</f>
        <v>0</v>
      </c>
      <c r="E66" s="144">
        <f t="shared" si="35"/>
        <v>0</v>
      </c>
      <c r="F66" s="144">
        <f t="shared" si="35"/>
        <v>0</v>
      </c>
      <c r="G66" s="144">
        <f t="shared" si="35"/>
        <v>0</v>
      </c>
      <c r="H66" s="144">
        <f t="shared" si="35"/>
        <v>0</v>
      </c>
      <c r="I66" s="144">
        <f t="shared" si="35"/>
        <v>0</v>
      </c>
      <c r="J66" s="144">
        <f t="shared" si="35"/>
        <v>0</v>
      </c>
      <c r="K66" s="144">
        <f t="shared" si="35"/>
        <v>0</v>
      </c>
      <c r="L66" s="144">
        <f t="shared" si="35"/>
        <v>0</v>
      </c>
      <c r="M66" s="144">
        <f t="shared" si="35"/>
        <v>0</v>
      </c>
      <c r="N66" s="144">
        <f t="shared" si="35"/>
        <v>0</v>
      </c>
      <c r="O66" s="144">
        <f t="shared" si="35"/>
        <v>0</v>
      </c>
      <c r="P66" s="144">
        <f t="shared" si="35"/>
        <v>0</v>
      </c>
      <c r="Q66" s="144">
        <f t="shared" si="35"/>
        <v>0</v>
      </c>
      <c r="R66" s="144">
        <f t="shared" si="35"/>
        <v>0</v>
      </c>
      <c r="S66" s="144">
        <f t="shared" si="35"/>
        <v>0</v>
      </c>
      <c r="T66" s="144">
        <f t="shared" si="35"/>
        <v>0</v>
      </c>
      <c r="U66" s="144">
        <f t="shared" si="35"/>
        <v>0</v>
      </c>
      <c r="V66" s="144">
        <f t="shared" si="35"/>
        <v>0</v>
      </c>
      <c r="W66" s="144">
        <f t="shared" si="35"/>
        <v>0</v>
      </c>
      <c r="X66" s="144">
        <f t="shared" si="35"/>
        <v>0</v>
      </c>
      <c r="Y66" s="144">
        <f t="shared" si="35"/>
        <v>0</v>
      </c>
      <c r="Z66" s="144">
        <f t="shared" si="35"/>
        <v>0</v>
      </c>
      <c r="AA66" s="144">
        <f t="shared" si="35"/>
        <v>0</v>
      </c>
      <c r="AB66" s="144">
        <f t="shared" si="35"/>
        <v>0</v>
      </c>
      <c r="AC66" s="144">
        <f t="shared" si="35"/>
        <v>0</v>
      </c>
      <c r="AD66" s="144">
        <f t="shared" si="35"/>
        <v>0</v>
      </c>
      <c r="AE66" s="144">
        <f t="shared" si="35"/>
        <v>0</v>
      </c>
      <c r="AF66" s="144">
        <f t="shared" si="35"/>
        <v>0</v>
      </c>
      <c r="AG66" s="144">
        <f t="shared" si="35"/>
        <v>0</v>
      </c>
      <c r="AH66" s="144">
        <f t="shared" si="35"/>
        <v>0</v>
      </c>
      <c r="AI66" s="144">
        <f t="shared" si="35"/>
        <v>0</v>
      </c>
      <c r="AJ66" s="144">
        <f t="shared" ref="AJ66:BF66" si="36">IFERROR(AVERAGE(AJ19,AJ43),0)</f>
        <v>0</v>
      </c>
      <c r="AK66" s="144">
        <f t="shared" si="36"/>
        <v>0</v>
      </c>
      <c r="AL66" s="144">
        <f t="shared" si="36"/>
        <v>0</v>
      </c>
      <c r="AM66" s="144">
        <f t="shared" si="36"/>
        <v>0</v>
      </c>
      <c r="AN66" s="144">
        <f t="shared" si="36"/>
        <v>0</v>
      </c>
      <c r="AO66" s="144">
        <f t="shared" si="36"/>
        <v>0</v>
      </c>
      <c r="AP66" s="144">
        <f t="shared" si="36"/>
        <v>0</v>
      </c>
      <c r="AQ66" s="144">
        <f t="shared" si="36"/>
        <v>0</v>
      </c>
      <c r="AR66" s="144">
        <f t="shared" si="36"/>
        <v>0</v>
      </c>
      <c r="AS66" s="144">
        <f t="shared" si="36"/>
        <v>0</v>
      </c>
      <c r="AT66" s="144">
        <f t="shared" si="36"/>
        <v>0</v>
      </c>
      <c r="AU66" s="144">
        <f t="shared" si="36"/>
        <v>29.495714138180315</v>
      </c>
      <c r="AV66" s="144">
        <f t="shared" si="36"/>
        <v>24.051390892231609</v>
      </c>
      <c r="AW66" s="144">
        <f t="shared" si="36"/>
        <v>25.040654590366408</v>
      </c>
      <c r="AX66" s="144">
        <f t="shared" si="36"/>
        <v>26.669183947178375</v>
      </c>
      <c r="AY66" s="144">
        <f t="shared" si="36"/>
        <v>29.390432895960327</v>
      </c>
      <c r="AZ66" s="144">
        <f t="shared" si="36"/>
        <v>28.527048585931837</v>
      </c>
      <c r="BA66" s="144">
        <f t="shared" si="36"/>
        <v>31.857458906233845</v>
      </c>
      <c r="BB66" s="144">
        <f t="shared" si="36"/>
        <v>32.383616756532561</v>
      </c>
      <c r="BC66" s="144">
        <f t="shared" si="36"/>
        <v>23.127263321262287</v>
      </c>
      <c r="BD66" s="144">
        <f t="shared" si="36"/>
        <v>25.001820062047571</v>
      </c>
      <c r="BE66" s="144">
        <f t="shared" si="36"/>
        <v>31.282920000000001</v>
      </c>
      <c r="BF66" s="144">
        <f t="shared" si="36"/>
        <v>26.906660000000002</v>
      </c>
      <c r="BG66" s="249"/>
      <c r="BH66" s="247">
        <f>AVERAGE(D66:O66)</f>
        <v>0</v>
      </c>
      <c r="BI66" s="247">
        <f t="shared" si="3"/>
        <v>0</v>
      </c>
      <c r="BJ66" s="247">
        <f t="shared" si="4"/>
        <v>0</v>
      </c>
      <c r="BK66" s="144">
        <f>AVERAGE(AU66:AY66)</f>
        <v>26.929475292783405</v>
      </c>
      <c r="BM66" s="165" t="s">
        <v>124</v>
      </c>
      <c r="BN66" s="165" t="s">
        <v>124</v>
      </c>
      <c r="BO66" s="166">
        <f>IFERROR(_xlfn.RRI(3,#REF!,BK66),0)</f>
        <v>0</v>
      </c>
      <c r="BQ66"/>
      <c r="BR66"/>
      <c r="BS66"/>
      <c r="BT66"/>
      <c r="BU66"/>
    </row>
    <row r="67" spans="2:73" ht="13.9">
      <c r="B67" s="61">
        <v>16</v>
      </c>
      <c r="C67" s="188" t="s">
        <v>111</v>
      </c>
      <c r="D67" s="144">
        <f t="shared" ref="D67:AI67" si="37">IFERROR(AVERAGE(D20,D44),0)</f>
        <v>0</v>
      </c>
      <c r="E67" s="144">
        <f t="shared" si="37"/>
        <v>0</v>
      </c>
      <c r="F67" s="144">
        <f t="shared" si="37"/>
        <v>0</v>
      </c>
      <c r="G67" s="144">
        <f t="shared" si="37"/>
        <v>0</v>
      </c>
      <c r="H67" s="144">
        <f t="shared" si="37"/>
        <v>0</v>
      </c>
      <c r="I67" s="144">
        <f t="shared" si="37"/>
        <v>0</v>
      </c>
      <c r="J67" s="144">
        <f t="shared" si="37"/>
        <v>0</v>
      </c>
      <c r="K67" s="144">
        <f t="shared" si="37"/>
        <v>0</v>
      </c>
      <c r="L67" s="144">
        <f t="shared" si="37"/>
        <v>0</v>
      </c>
      <c r="M67" s="144">
        <f t="shared" si="37"/>
        <v>0</v>
      </c>
      <c r="N67" s="144">
        <f t="shared" si="37"/>
        <v>0</v>
      </c>
      <c r="O67" s="144">
        <f t="shared" si="37"/>
        <v>0</v>
      </c>
      <c r="P67" s="144">
        <f t="shared" si="37"/>
        <v>0</v>
      </c>
      <c r="Q67" s="144">
        <f t="shared" si="37"/>
        <v>0</v>
      </c>
      <c r="R67" s="144">
        <f t="shared" si="37"/>
        <v>0</v>
      </c>
      <c r="S67" s="144">
        <f t="shared" si="37"/>
        <v>0</v>
      </c>
      <c r="T67" s="144">
        <f t="shared" si="37"/>
        <v>0</v>
      </c>
      <c r="U67" s="144">
        <f t="shared" si="37"/>
        <v>0</v>
      </c>
      <c r="V67" s="144">
        <f t="shared" si="37"/>
        <v>0</v>
      </c>
      <c r="W67" s="144">
        <f t="shared" si="37"/>
        <v>0</v>
      </c>
      <c r="X67" s="144">
        <f t="shared" si="37"/>
        <v>0</v>
      </c>
      <c r="Y67" s="144">
        <f t="shared" si="37"/>
        <v>0</v>
      </c>
      <c r="Z67" s="144">
        <f t="shared" si="37"/>
        <v>0</v>
      </c>
      <c r="AA67" s="144">
        <f t="shared" si="37"/>
        <v>0</v>
      </c>
      <c r="AB67" s="144">
        <f t="shared" si="37"/>
        <v>0</v>
      </c>
      <c r="AC67" s="144">
        <f t="shared" si="37"/>
        <v>0</v>
      </c>
      <c r="AD67" s="144">
        <f t="shared" si="37"/>
        <v>0</v>
      </c>
      <c r="AE67" s="144">
        <f t="shared" si="37"/>
        <v>0</v>
      </c>
      <c r="AF67" s="144">
        <f t="shared" si="37"/>
        <v>0</v>
      </c>
      <c r="AG67" s="144">
        <f t="shared" si="37"/>
        <v>0</v>
      </c>
      <c r="AH67" s="144">
        <f t="shared" si="37"/>
        <v>0</v>
      </c>
      <c r="AI67" s="144">
        <f t="shared" si="37"/>
        <v>0</v>
      </c>
      <c r="AJ67" s="144">
        <f t="shared" ref="AJ67:BF67" si="38">IFERROR(AVERAGE(AJ20,AJ44),0)</f>
        <v>0</v>
      </c>
      <c r="AK67" s="144">
        <f t="shared" si="38"/>
        <v>0</v>
      </c>
      <c r="AL67" s="144">
        <f t="shared" si="38"/>
        <v>0</v>
      </c>
      <c r="AM67" s="144">
        <f t="shared" si="38"/>
        <v>0</v>
      </c>
      <c r="AN67" s="144">
        <f t="shared" si="38"/>
        <v>0</v>
      </c>
      <c r="AO67" s="144">
        <f t="shared" si="38"/>
        <v>0</v>
      </c>
      <c r="AP67" s="144">
        <f t="shared" si="38"/>
        <v>0</v>
      </c>
      <c r="AQ67" s="144">
        <f t="shared" si="38"/>
        <v>0</v>
      </c>
      <c r="AR67" s="144">
        <f t="shared" si="38"/>
        <v>0</v>
      </c>
      <c r="AS67" s="144">
        <f t="shared" si="38"/>
        <v>0</v>
      </c>
      <c r="AT67" s="144">
        <f t="shared" si="38"/>
        <v>0</v>
      </c>
      <c r="AU67" s="144">
        <f t="shared" si="38"/>
        <v>0</v>
      </c>
      <c r="AV67" s="144">
        <f t="shared" si="38"/>
        <v>0</v>
      </c>
      <c r="AW67" s="144">
        <f t="shared" si="38"/>
        <v>0</v>
      </c>
      <c r="AX67" s="144">
        <f t="shared" si="38"/>
        <v>0</v>
      </c>
      <c r="AY67" s="144">
        <f t="shared" si="38"/>
        <v>0</v>
      </c>
      <c r="AZ67" s="144">
        <f t="shared" si="38"/>
        <v>0</v>
      </c>
      <c r="BA67" s="144">
        <f t="shared" si="38"/>
        <v>0</v>
      </c>
      <c r="BB67" s="144">
        <f t="shared" si="38"/>
        <v>0</v>
      </c>
      <c r="BC67" s="144">
        <f t="shared" si="38"/>
        <v>15.053243662700464</v>
      </c>
      <c r="BD67" s="144">
        <f t="shared" si="38"/>
        <v>15.13960703205791</v>
      </c>
      <c r="BE67" s="144">
        <f t="shared" si="38"/>
        <v>15.56</v>
      </c>
      <c r="BF67" s="144">
        <f t="shared" si="38"/>
        <v>14.919999999999998</v>
      </c>
      <c r="BG67" s="249"/>
      <c r="BH67" s="247">
        <f>AVERAGE(D67:O67)</f>
        <v>0</v>
      </c>
      <c r="BI67" s="247">
        <f t="shared" si="3"/>
        <v>0</v>
      </c>
      <c r="BJ67" s="247">
        <f t="shared" si="4"/>
        <v>0</v>
      </c>
      <c r="BK67" s="144">
        <f>AVERAGE(AN67:AY67)</f>
        <v>0</v>
      </c>
      <c r="BM67" s="165" t="s">
        <v>124</v>
      </c>
      <c r="BN67" s="165" t="s">
        <v>124</v>
      </c>
      <c r="BO67" s="166">
        <f>IFERROR(_xlfn.RRI(3,#REF!,BK67),0)</f>
        <v>0</v>
      </c>
      <c r="BQ67"/>
      <c r="BR67"/>
      <c r="BS67"/>
      <c r="BT67"/>
      <c r="BU67"/>
    </row>
    <row r="68" spans="2:73" ht="13.9">
      <c r="B68" s="61">
        <v>17</v>
      </c>
      <c r="C68" s="188" t="s">
        <v>112</v>
      </c>
      <c r="D68" s="144">
        <f t="shared" ref="D68:AI68" si="39">IFERROR(AVERAGE(D21,D45),0)</f>
        <v>0</v>
      </c>
      <c r="E68" s="144">
        <f t="shared" si="39"/>
        <v>0</v>
      </c>
      <c r="F68" s="144">
        <f t="shared" si="39"/>
        <v>0</v>
      </c>
      <c r="G68" s="144">
        <f t="shared" si="39"/>
        <v>0</v>
      </c>
      <c r="H68" s="144">
        <f t="shared" si="39"/>
        <v>0</v>
      </c>
      <c r="I68" s="144">
        <f t="shared" si="39"/>
        <v>0</v>
      </c>
      <c r="J68" s="144">
        <f t="shared" si="39"/>
        <v>0</v>
      </c>
      <c r="K68" s="144">
        <f t="shared" si="39"/>
        <v>0</v>
      </c>
      <c r="L68" s="144">
        <f t="shared" si="39"/>
        <v>0</v>
      </c>
      <c r="M68" s="144">
        <f t="shared" si="39"/>
        <v>0</v>
      </c>
      <c r="N68" s="144">
        <f t="shared" si="39"/>
        <v>0</v>
      </c>
      <c r="O68" s="144">
        <f t="shared" si="39"/>
        <v>0</v>
      </c>
      <c r="P68" s="144">
        <f t="shared" si="39"/>
        <v>0</v>
      </c>
      <c r="Q68" s="144">
        <f t="shared" si="39"/>
        <v>0</v>
      </c>
      <c r="R68" s="144">
        <f t="shared" si="39"/>
        <v>0</v>
      </c>
      <c r="S68" s="144">
        <f t="shared" si="39"/>
        <v>0</v>
      </c>
      <c r="T68" s="144">
        <f t="shared" si="39"/>
        <v>0</v>
      </c>
      <c r="U68" s="144">
        <f t="shared" si="39"/>
        <v>0</v>
      </c>
      <c r="V68" s="144">
        <f t="shared" si="39"/>
        <v>0</v>
      </c>
      <c r="W68" s="144">
        <f t="shared" si="39"/>
        <v>0</v>
      </c>
      <c r="X68" s="144">
        <f t="shared" si="39"/>
        <v>0</v>
      </c>
      <c r="Y68" s="144">
        <f t="shared" si="39"/>
        <v>0</v>
      </c>
      <c r="Z68" s="144">
        <f t="shared" si="39"/>
        <v>0</v>
      </c>
      <c r="AA68" s="144">
        <f t="shared" si="39"/>
        <v>0</v>
      </c>
      <c r="AB68" s="144">
        <f t="shared" si="39"/>
        <v>0</v>
      </c>
      <c r="AC68" s="144">
        <f t="shared" si="39"/>
        <v>0</v>
      </c>
      <c r="AD68" s="144">
        <f t="shared" si="39"/>
        <v>0</v>
      </c>
      <c r="AE68" s="144">
        <f t="shared" si="39"/>
        <v>0</v>
      </c>
      <c r="AF68" s="144">
        <f t="shared" si="39"/>
        <v>0</v>
      </c>
      <c r="AG68" s="144">
        <f t="shared" si="39"/>
        <v>0</v>
      </c>
      <c r="AH68" s="144">
        <f t="shared" si="39"/>
        <v>0</v>
      </c>
      <c r="AI68" s="144">
        <f t="shared" si="39"/>
        <v>0</v>
      </c>
      <c r="AJ68" s="144">
        <f t="shared" ref="AJ68:BF68" si="40">IFERROR(AVERAGE(AJ21,AJ45),0)</f>
        <v>0</v>
      </c>
      <c r="AK68" s="144">
        <f t="shared" si="40"/>
        <v>0</v>
      </c>
      <c r="AL68" s="144">
        <f t="shared" si="40"/>
        <v>0</v>
      </c>
      <c r="AM68" s="144">
        <f t="shared" si="40"/>
        <v>0</v>
      </c>
      <c r="AN68" s="144">
        <f t="shared" si="40"/>
        <v>0</v>
      </c>
      <c r="AO68" s="144">
        <f t="shared" si="40"/>
        <v>0</v>
      </c>
      <c r="AP68" s="144">
        <f t="shared" si="40"/>
        <v>0</v>
      </c>
      <c r="AQ68" s="144">
        <f t="shared" si="40"/>
        <v>0</v>
      </c>
      <c r="AR68" s="144">
        <f t="shared" si="40"/>
        <v>0</v>
      </c>
      <c r="AS68" s="144">
        <f t="shared" si="40"/>
        <v>0</v>
      </c>
      <c r="AT68" s="144">
        <f t="shared" si="40"/>
        <v>0</v>
      </c>
      <c r="AU68" s="144">
        <f t="shared" si="40"/>
        <v>0</v>
      </c>
      <c r="AV68" s="144">
        <f t="shared" si="40"/>
        <v>0</v>
      </c>
      <c r="AW68" s="144">
        <f t="shared" si="40"/>
        <v>0</v>
      </c>
      <c r="AX68" s="144">
        <f t="shared" si="40"/>
        <v>0</v>
      </c>
      <c r="AY68" s="144">
        <f t="shared" si="40"/>
        <v>0</v>
      </c>
      <c r="AZ68" s="144">
        <f t="shared" si="40"/>
        <v>0</v>
      </c>
      <c r="BA68" s="144">
        <f t="shared" si="40"/>
        <v>0</v>
      </c>
      <c r="BB68" s="144">
        <f t="shared" si="40"/>
        <v>0</v>
      </c>
      <c r="BC68" s="144">
        <f t="shared" si="40"/>
        <v>10.677703052250388</v>
      </c>
      <c r="BD68" s="144">
        <f t="shared" si="40"/>
        <v>10.568769389865563</v>
      </c>
      <c r="BE68" s="144">
        <f t="shared" si="40"/>
        <v>10.68</v>
      </c>
      <c r="BF68" s="144">
        <f t="shared" si="40"/>
        <v>10.56</v>
      </c>
      <c r="BG68" s="249"/>
      <c r="BH68" s="247">
        <f>AVERAGE(D68:O68)</f>
        <v>0</v>
      </c>
      <c r="BI68" s="247">
        <f t="shared" si="3"/>
        <v>0</v>
      </c>
      <c r="BJ68" s="247">
        <f t="shared" si="4"/>
        <v>0</v>
      </c>
      <c r="BK68" s="144">
        <f>AVERAGE(AN68:AY68)</f>
        <v>0</v>
      </c>
      <c r="BM68" s="165" t="s">
        <v>124</v>
      </c>
      <c r="BN68" s="165" t="s">
        <v>124</v>
      </c>
      <c r="BO68" s="166">
        <f>IFERROR(_xlfn.RRI(3,#REF!,BK68),0)</f>
        <v>0</v>
      </c>
      <c r="BQ68"/>
      <c r="BR68"/>
      <c r="BS68"/>
      <c r="BT68"/>
      <c r="BU68"/>
    </row>
    <row r="69" spans="2:73" ht="13.9">
      <c r="B69" s="61">
        <v>18</v>
      </c>
      <c r="C69" s="60" t="s">
        <v>291</v>
      </c>
      <c r="D69" s="144">
        <f t="shared" ref="D69:AI69" si="41">IFERROR(AVERAGE(D22,D46),0)</f>
        <v>0</v>
      </c>
      <c r="E69" s="144">
        <f t="shared" si="41"/>
        <v>0</v>
      </c>
      <c r="F69" s="144">
        <f t="shared" si="41"/>
        <v>0</v>
      </c>
      <c r="G69" s="144">
        <f t="shared" si="41"/>
        <v>0</v>
      </c>
      <c r="H69" s="144">
        <f t="shared" si="41"/>
        <v>0</v>
      </c>
      <c r="I69" s="144">
        <f t="shared" si="41"/>
        <v>0</v>
      </c>
      <c r="J69" s="144">
        <f t="shared" si="41"/>
        <v>0</v>
      </c>
      <c r="K69" s="144">
        <f t="shared" si="41"/>
        <v>0</v>
      </c>
      <c r="L69" s="144">
        <f t="shared" si="41"/>
        <v>0</v>
      </c>
      <c r="M69" s="144">
        <f t="shared" si="41"/>
        <v>0</v>
      </c>
      <c r="N69" s="144">
        <f t="shared" si="41"/>
        <v>0</v>
      </c>
      <c r="O69" s="144">
        <f t="shared" si="41"/>
        <v>0</v>
      </c>
      <c r="P69" s="144">
        <f t="shared" si="41"/>
        <v>0</v>
      </c>
      <c r="Q69" s="144">
        <f t="shared" si="41"/>
        <v>0</v>
      </c>
      <c r="R69" s="144">
        <f t="shared" si="41"/>
        <v>0</v>
      </c>
      <c r="S69" s="144">
        <f t="shared" si="41"/>
        <v>0</v>
      </c>
      <c r="T69" s="144">
        <f t="shared" si="41"/>
        <v>0</v>
      </c>
      <c r="U69" s="144">
        <f t="shared" si="41"/>
        <v>0</v>
      </c>
      <c r="V69" s="144">
        <f t="shared" si="41"/>
        <v>0</v>
      </c>
      <c r="W69" s="144">
        <f t="shared" si="41"/>
        <v>0</v>
      </c>
      <c r="X69" s="144">
        <f t="shared" si="41"/>
        <v>0</v>
      </c>
      <c r="Y69" s="144">
        <f t="shared" si="41"/>
        <v>0</v>
      </c>
      <c r="Z69" s="144">
        <f t="shared" si="41"/>
        <v>0</v>
      </c>
      <c r="AA69" s="144">
        <f t="shared" si="41"/>
        <v>0</v>
      </c>
      <c r="AB69" s="144">
        <f t="shared" si="41"/>
        <v>0</v>
      </c>
      <c r="AC69" s="144">
        <f t="shared" si="41"/>
        <v>0</v>
      </c>
      <c r="AD69" s="144">
        <f t="shared" si="41"/>
        <v>0</v>
      </c>
      <c r="AE69" s="144">
        <f t="shared" si="41"/>
        <v>0</v>
      </c>
      <c r="AF69" s="144">
        <f t="shared" si="41"/>
        <v>0</v>
      </c>
      <c r="AG69" s="144">
        <f t="shared" si="41"/>
        <v>0</v>
      </c>
      <c r="AH69" s="144">
        <f t="shared" si="41"/>
        <v>0</v>
      </c>
      <c r="AI69" s="144">
        <f t="shared" si="41"/>
        <v>0</v>
      </c>
      <c r="AJ69" s="144">
        <f t="shared" ref="AJ69:BF69" si="42">IFERROR(AVERAGE(AJ22,AJ46),0)</f>
        <v>0</v>
      </c>
      <c r="AK69" s="144">
        <f t="shared" si="42"/>
        <v>0</v>
      </c>
      <c r="AL69" s="144">
        <f t="shared" si="42"/>
        <v>0</v>
      </c>
      <c r="AM69" s="144">
        <f t="shared" si="42"/>
        <v>0</v>
      </c>
      <c r="AN69" s="144">
        <f t="shared" si="42"/>
        <v>0</v>
      </c>
      <c r="AO69" s="144">
        <f t="shared" si="42"/>
        <v>0</v>
      </c>
      <c r="AP69" s="144">
        <f t="shared" si="42"/>
        <v>0</v>
      </c>
      <c r="AQ69" s="144">
        <f t="shared" si="42"/>
        <v>0</v>
      </c>
      <c r="AR69" s="144">
        <f t="shared" si="42"/>
        <v>0</v>
      </c>
      <c r="AS69" s="144">
        <f t="shared" si="42"/>
        <v>0</v>
      </c>
      <c r="AT69" s="144">
        <f t="shared" si="42"/>
        <v>0</v>
      </c>
      <c r="AU69" s="144">
        <f t="shared" si="42"/>
        <v>0</v>
      </c>
      <c r="AV69" s="144">
        <f t="shared" si="42"/>
        <v>0</v>
      </c>
      <c r="AW69" s="144">
        <f t="shared" si="42"/>
        <v>0</v>
      </c>
      <c r="AX69" s="144">
        <f t="shared" si="42"/>
        <v>0</v>
      </c>
      <c r="AY69" s="144">
        <f t="shared" si="42"/>
        <v>0</v>
      </c>
      <c r="AZ69" s="144">
        <f t="shared" si="42"/>
        <v>0</v>
      </c>
      <c r="BA69" s="144">
        <f t="shared" si="42"/>
        <v>0</v>
      </c>
      <c r="BB69" s="144">
        <f t="shared" si="42"/>
        <v>0</v>
      </c>
      <c r="BC69" s="144">
        <f t="shared" si="42"/>
        <v>0</v>
      </c>
      <c r="BD69" s="144">
        <f t="shared" si="42"/>
        <v>0</v>
      </c>
      <c r="BE69" s="144">
        <f t="shared" si="42"/>
        <v>0</v>
      </c>
      <c r="BF69" s="144">
        <f t="shared" si="42"/>
        <v>0</v>
      </c>
      <c r="BG69" s="249"/>
      <c r="BH69" s="247">
        <f>AVERAGE(D69:O69)</f>
        <v>0</v>
      </c>
      <c r="BI69" s="247">
        <f t="shared" si="3"/>
        <v>0</v>
      </c>
      <c r="BJ69" s="247">
        <f t="shared" si="4"/>
        <v>0</v>
      </c>
      <c r="BK69" s="144">
        <f>AVERAGE(AN69:AY69)</f>
        <v>0</v>
      </c>
      <c r="BM69" s="165" t="s">
        <v>124</v>
      </c>
      <c r="BN69" s="165" t="s">
        <v>124</v>
      </c>
      <c r="BO69" s="166">
        <f>IFERROR(_xlfn.RRI(3,#REF!,BK69),0)</f>
        <v>0</v>
      </c>
      <c r="BQ69"/>
      <c r="BR69"/>
      <c r="BS69"/>
      <c r="BT69"/>
      <c r="BU69"/>
    </row>
    <row r="70" spans="2:73" ht="13.9">
      <c r="B70" s="61"/>
      <c r="C70" s="159" t="s">
        <v>191</v>
      </c>
      <c r="D70" s="167">
        <f t="shared" ref="D70:AI70" si="43">SUM(D52:D69)</f>
        <v>18278.471716348995</v>
      </c>
      <c r="E70" s="167">
        <f t="shared" si="43"/>
        <v>20723.860991228794</v>
      </c>
      <c r="F70" s="167">
        <f t="shared" si="43"/>
        <v>18805.722302926613</v>
      </c>
      <c r="G70" s="167">
        <f t="shared" si="43"/>
        <v>17056.654253158882</v>
      </c>
      <c r="H70" s="167">
        <f t="shared" si="43"/>
        <v>17471.926574174115</v>
      </c>
      <c r="I70" s="167">
        <f t="shared" si="43"/>
        <v>18737.455998994163</v>
      </c>
      <c r="J70" s="167">
        <f t="shared" si="43"/>
        <v>19662.47832785295</v>
      </c>
      <c r="K70" s="167">
        <f t="shared" si="43"/>
        <v>21707.293049938213</v>
      </c>
      <c r="L70" s="167">
        <f t="shared" si="43"/>
        <v>22726.371698230094</v>
      </c>
      <c r="M70" s="167">
        <f t="shared" si="43"/>
        <v>22958.893513083898</v>
      </c>
      <c r="N70" s="167">
        <f t="shared" si="43"/>
        <v>22893.454506984934</v>
      </c>
      <c r="O70" s="167">
        <f t="shared" si="43"/>
        <v>24394.723057279462</v>
      </c>
      <c r="P70" s="167">
        <f t="shared" si="43"/>
        <v>24567.326817519312</v>
      </c>
      <c r="Q70" s="167">
        <f t="shared" si="43"/>
        <v>22418.229360217279</v>
      </c>
      <c r="R70" s="167">
        <f t="shared" si="43"/>
        <v>20196.916651505551</v>
      </c>
      <c r="S70" s="167">
        <f t="shared" si="43"/>
        <v>22842.126857626845</v>
      </c>
      <c r="T70" s="167">
        <f t="shared" si="43"/>
        <v>23008.84688291133</v>
      </c>
      <c r="U70" s="167">
        <f t="shared" si="43"/>
        <v>20897.889227478761</v>
      </c>
      <c r="V70" s="167">
        <f t="shared" si="43"/>
        <v>21849.124082363342</v>
      </c>
      <c r="W70" s="167">
        <f t="shared" si="43"/>
        <v>23880.569176719029</v>
      </c>
      <c r="X70" s="167">
        <f t="shared" si="43"/>
        <v>23842.376354908491</v>
      </c>
      <c r="Y70" s="167">
        <f t="shared" si="43"/>
        <v>24768.862601136821</v>
      </c>
      <c r="Z70" s="167">
        <f t="shared" si="43"/>
        <v>25535.797811145625</v>
      </c>
      <c r="AA70" s="167">
        <f t="shared" si="43"/>
        <v>27210.101537008239</v>
      </c>
      <c r="AB70" s="167">
        <f t="shared" si="43"/>
        <v>26952.42217440992</v>
      </c>
      <c r="AC70" s="167">
        <f t="shared" si="43"/>
        <v>27249.413378183457</v>
      </c>
      <c r="AD70" s="167">
        <f t="shared" si="43"/>
        <v>26159.636503682421</v>
      </c>
      <c r="AE70" s="167">
        <f t="shared" si="43"/>
        <v>22058.432208865073</v>
      </c>
      <c r="AF70" s="167">
        <f t="shared" si="43"/>
        <v>23726.655792375532</v>
      </c>
      <c r="AG70" s="167">
        <f t="shared" si="43"/>
        <v>21981.062669778552</v>
      </c>
      <c r="AH70" s="167">
        <f t="shared" si="43"/>
        <v>22220.607977359788</v>
      </c>
      <c r="AI70" s="167">
        <f t="shared" si="43"/>
        <v>25394.957926337735</v>
      </c>
      <c r="AJ70" s="167">
        <f t="shared" ref="AJ70:BF70" si="44">SUM(AJ52:AJ69)</f>
        <v>26319.399731599053</v>
      </c>
      <c r="AK70" s="167">
        <f t="shared" si="44"/>
        <v>26614.468001651523</v>
      </c>
      <c r="AL70" s="167">
        <f t="shared" si="44"/>
        <v>27525.922812467637</v>
      </c>
      <c r="AM70" s="167">
        <f t="shared" si="44"/>
        <v>27368.663862767382</v>
      </c>
      <c r="AN70" s="167">
        <f t="shared" si="44"/>
        <v>28005.701339702984</v>
      </c>
      <c r="AO70" s="167">
        <f t="shared" si="44"/>
        <v>27346.709933637496</v>
      </c>
      <c r="AP70" s="167">
        <f t="shared" si="44"/>
        <v>28284.786746738457</v>
      </c>
      <c r="AQ70" s="167">
        <f t="shared" si="44"/>
        <v>23817.673997519629</v>
      </c>
      <c r="AR70" s="167">
        <f t="shared" si="44"/>
        <v>26445.192560446372</v>
      </c>
      <c r="AS70" s="167">
        <f t="shared" si="44"/>
        <v>26910.641356492964</v>
      </c>
      <c r="AT70" s="167">
        <f t="shared" si="44"/>
        <v>27893.561915621442</v>
      </c>
      <c r="AU70" s="167">
        <f t="shared" si="44"/>
        <v>27632.486584736136</v>
      </c>
      <c r="AV70" s="167">
        <f t="shared" si="44"/>
        <v>26686.735277148153</v>
      </c>
      <c r="AW70" s="167">
        <f t="shared" si="44"/>
        <v>27329.77268423219</v>
      </c>
      <c r="AX70" s="167">
        <f t="shared" si="44"/>
        <v>27674.812132466726</v>
      </c>
      <c r="AY70" s="167">
        <f t="shared" si="44"/>
        <v>27873.430375038752</v>
      </c>
      <c r="AZ70" s="167">
        <f t="shared" si="44"/>
        <v>28184.146006422867</v>
      </c>
      <c r="BA70" s="167">
        <f t="shared" si="44"/>
        <v>28053.319693993588</v>
      </c>
      <c r="BB70" s="167">
        <f t="shared" si="44"/>
        <v>27883.836623807547</v>
      </c>
      <c r="BC70" s="167">
        <f t="shared" si="44"/>
        <v>24537.567470253493</v>
      </c>
      <c r="BD70" s="167">
        <f t="shared" si="44"/>
        <v>24548.42494312306</v>
      </c>
      <c r="BE70" s="167">
        <f t="shared" si="44"/>
        <v>24082.43244</v>
      </c>
      <c r="BF70" s="167">
        <f t="shared" si="44"/>
        <v>25076.677</v>
      </c>
      <c r="BG70" s="250"/>
      <c r="BH70" s="145">
        <f>SUM(BH52:BH69)</f>
        <v>20448.790109968551</v>
      </c>
      <c r="BI70" s="145">
        <f>SUM(BI52:BI69)</f>
        <v>23417.90466337838</v>
      </c>
      <c r="BJ70" s="145">
        <f>SUM(BJ52:BJ69)</f>
        <v>25297.636919956509</v>
      </c>
      <c r="BK70" s="145">
        <f>SUM(BK52:BK69)</f>
        <v>27174.167602569232</v>
      </c>
      <c r="BM70" s="168">
        <f>(BK70/BH70)^(1/3)-1</f>
        <v>9.9418087035174851E-2</v>
      </c>
      <c r="BN70" s="168">
        <f>(BK70-BH70)/BH70/3</f>
        <v>0.10962959106518054</v>
      </c>
      <c r="BO70" s="177">
        <f>IFERROR(_xlfn.RRI(3,#REF!,BK70),0)</f>
        <v>0</v>
      </c>
      <c r="BQ70"/>
      <c r="BR70"/>
      <c r="BS70"/>
      <c r="BT70"/>
      <c r="BU70"/>
    </row>
    <row r="71" spans="2:73">
      <c r="BM71" s="168">
        <f>IFERROR(((($BK$70/$BI$70)^(1/2))-1),0)</f>
        <v>7.7219255818007815E-2</v>
      </c>
    </row>
    <row r="72" spans="2:73">
      <c r="BM72" s="168">
        <f>IFERROR(((($BK$70/$BJ$70)^(1/1))-1),0)</f>
        <v>7.4178101636536153E-2</v>
      </c>
    </row>
    <row r="73" spans="2:73" ht="13.9">
      <c r="B73" s="149" t="s">
        <v>2</v>
      </c>
      <c r="C73" s="149" t="s">
        <v>82</v>
      </c>
      <c r="D73" s="150" t="s">
        <v>51</v>
      </c>
      <c r="E73" s="150" t="s">
        <v>52</v>
      </c>
    </row>
    <row r="74" spans="2:73" ht="13.9">
      <c r="B74" s="61">
        <v>1</v>
      </c>
      <c r="C74" s="10" t="s">
        <v>96</v>
      </c>
      <c r="D74" s="144">
        <f>AVERAGE(AB52:AM52)</f>
        <v>21657.67853029129</v>
      </c>
      <c r="E74" s="144">
        <f t="shared" ref="E74:E87" si="45">AVERAGE(AN52:AY52)</f>
        <v>23299.942140979343</v>
      </c>
      <c r="F74"/>
      <c r="G74"/>
      <c r="H74"/>
      <c r="I74"/>
    </row>
    <row r="75" spans="2:73" ht="13.9">
      <c r="B75" s="61">
        <v>2</v>
      </c>
      <c r="C75" s="10" t="s">
        <v>97</v>
      </c>
      <c r="D75" s="144">
        <f t="shared" ref="D75:D91" si="46">AVERAGE(AB53:AM53)</f>
        <v>840.76851174359581</v>
      </c>
      <c r="E75" s="144">
        <f t="shared" si="45"/>
        <v>887.88524415390566</v>
      </c>
      <c r="F75"/>
      <c r="G75"/>
      <c r="H75"/>
      <c r="I75"/>
    </row>
    <row r="76" spans="2:73" ht="13.9">
      <c r="B76" s="61">
        <v>3</v>
      </c>
      <c r="C76" s="10" t="s">
        <v>98</v>
      </c>
      <c r="D76" s="144">
        <f t="shared" si="46"/>
        <v>1520.3184966791343</v>
      </c>
      <c r="E76" s="144">
        <f t="shared" si="45"/>
        <v>1620.5122889019176</v>
      </c>
      <c r="F76"/>
      <c r="G76"/>
      <c r="H76"/>
      <c r="I76"/>
    </row>
    <row r="77" spans="2:73" ht="13.9">
      <c r="B77" s="61">
        <v>4</v>
      </c>
      <c r="C77" s="10" t="s">
        <v>99</v>
      </c>
      <c r="D77" s="144">
        <f t="shared" si="46"/>
        <v>766.74492025824748</v>
      </c>
      <c r="E77" s="144">
        <f t="shared" si="45"/>
        <v>809.62212685602651</v>
      </c>
      <c r="F77"/>
      <c r="G77"/>
      <c r="H77"/>
      <c r="I77"/>
    </row>
    <row r="78" spans="2:73" ht="13.9">
      <c r="B78" s="61">
        <v>5</v>
      </c>
      <c r="C78" s="10" t="s">
        <v>100</v>
      </c>
      <c r="D78" s="144">
        <f t="shared" si="46"/>
        <v>465.27687453063868</v>
      </c>
      <c r="E78" s="144">
        <f t="shared" si="45"/>
        <v>476.29576368417844</v>
      </c>
      <c r="F78"/>
      <c r="G78"/>
      <c r="H78"/>
      <c r="I78"/>
    </row>
    <row r="79" spans="2:73" ht="13.9">
      <c r="B79" s="61">
        <v>6</v>
      </c>
      <c r="C79" s="10" t="s">
        <v>101</v>
      </c>
      <c r="D79" s="144">
        <f t="shared" si="46"/>
        <v>8.8263642335825754</v>
      </c>
      <c r="E79" s="144">
        <f t="shared" si="45"/>
        <v>9.6288927584068791</v>
      </c>
      <c r="F79"/>
      <c r="G79"/>
      <c r="H79"/>
      <c r="I79"/>
    </row>
    <row r="80" spans="2:73" ht="13.9">
      <c r="B80" s="61">
        <v>7</v>
      </c>
      <c r="C80" s="10" t="s">
        <v>102</v>
      </c>
      <c r="D80" s="144">
        <f t="shared" si="46"/>
        <v>4.9591404052703156</v>
      </c>
      <c r="E80" s="144">
        <f t="shared" si="45"/>
        <v>4.7581209253517445</v>
      </c>
      <c r="F80"/>
      <c r="G80"/>
      <c r="H80"/>
      <c r="I80"/>
    </row>
    <row r="81" spans="2:9" ht="13.9">
      <c r="B81" s="61">
        <v>8</v>
      </c>
      <c r="C81" s="10" t="s">
        <v>103</v>
      </c>
      <c r="D81" s="144">
        <f t="shared" si="46"/>
        <v>4.2261638574231251</v>
      </c>
      <c r="E81" s="144">
        <f t="shared" si="45"/>
        <v>4.8354931743877367</v>
      </c>
      <c r="F81"/>
      <c r="G81"/>
      <c r="H81"/>
      <c r="I81"/>
    </row>
    <row r="82" spans="2:9" ht="13.9">
      <c r="B82" s="61">
        <v>9</v>
      </c>
      <c r="C82" s="10" t="s">
        <v>104</v>
      </c>
      <c r="D82" s="144">
        <f t="shared" si="46"/>
        <v>3.3330259296032971</v>
      </c>
      <c r="E82" s="144">
        <f t="shared" si="45"/>
        <v>5.00902343187059</v>
      </c>
      <c r="F82"/>
      <c r="G82"/>
      <c r="H82"/>
      <c r="I82"/>
    </row>
    <row r="83" spans="2:9" ht="13.9">
      <c r="B83" s="61">
        <v>10</v>
      </c>
      <c r="C83" s="10" t="s">
        <v>105</v>
      </c>
      <c r="D83" s="144">
        <f t="shared" si="46"/>
        <v>12.504652338592978</v>
      </c>
      <c r="E83" s="144">
        <f t="shared" si="45"/>
        <v>13.642857587808855</v>
      </c>
      <c r="F83"/>
      <c r="G83"/>
      <c r="H83"/>
      <c r="I83"/>
    </row>
    <row r="84" spans="2:9" ht="13.9">
      <c r="B84" s="61">
        <v>11</v>
      </c>
      <c r="C84" s="10" t="s">
        <v>106</v>
      </c>
      <c r="D84" s="144">
        <f t="shared" si="46"/>
        <v>6.8753755588047403</v>
      </c>
      <c r="E84" s="144">
        <f t="shared" si="45"/>
        <v>7.8086218578848205</v>
      </c>
      <c r="F84"/>
      <c r="G84"/>
      <c r="H84"/>
      <c r="I84"/>
    </row>
    <row r="85" spans="2:9" ht="13.9">
      <c r="B85" s="61">
        <v>12</v>
      </c>
      <c r="C85" s="10" t="s">
        <v>107</v>
      </c>
      <c r="D85" s="144">
        <f t="shared" si="46"/>
        <v>4.6153764922955736</v>
      </c>
      <c r="E85" s="144">
        <f t="shared" si="45"/>
        <v>5.5719009025949369</v>
      </c>
      <c r="F85"/>
      <c r="G85"/>
      <c r="H85"/>
      <c r="I85"/>
    </row>
    <row r="86" spans="2:9" ht="13.9">
      <c r="B86" s="61">
        <v>13</v>
      </c>
      <c r="C86" s="10" t="s">
        <v>108</v>
      </c>
      <c r="D86" s="144">
        <f t="shared" si="46"/>
        <v>0.90694810225534095</v>
      </c>
      <c r="E86" s="144">
        <f t="shared" si="45"/>
        <v>1.1110843832780235</v>
      </c>
      <c r="F86"/>
      <c r="G86"/>
      <c r="H86"/>
      <c r="I86"/>
    </row>
    <row r="87" spans="2:9" ht="13.9">
      <c r="B87" s="61">
        <v>14</v>
      </c>
      <c r="C87" s="10" t="s">
        <v>109</v>
      </c>
      <c r="D87" s="144">
        <f t="shared" si="46"/>
        <v>0.60253953577242603</v>
      </c>
      <c r="E87" s="144">
        <f t="shared" si="45"/>
        <v>0.61456767949111812</v>
      </c>
      <c r="F87"/>
      <c r="G87"/>
      <c r="H87"/>
      <c r="I87"/>
    </row>
    <row r="88" spans="2:9" ht="13.9">
      <c r="B88" s="61">
        <v>15</v>
      </c>
      <c r="C88" s="10" t="s">
        <v>110</v>
      </c>
      <c r="D88" s="247">
        <f t="shared" si="46"/>
        <v>0</v>
      </c>
      <c r="E88" s="144">
        <f>AVERAGE(AU66:AY66)</f>
        <v>26.929475292783405</v>
      </c>
      <c r="F88"/>
      <c r="G88"/>
      <c r="H88"/>
      <c r="I88"/>
    </row>
    <row r="89" spans="2:9" ht="13.9">
      <c r="B89" s="61">
        <v>16</v>
      </c>
      <c r="C89" s="188" t="s">
        <v>111</v>
      </c>
      <c r="D89" s="247">
        <f t="shared" si="46"/>
        <v>0</v>
      </c>
      <c r="E89" s="247">
        <f>AVERAGE(AN67:AY67)</f>
        <v>0</v>
      </c>
      <c r="F89"/>
      <c r="G89"/>
      <c r="H89"/>
      <c r="I89"/>
    </row>
    <row r="90" spans="2:9" ht="13.9">
      <c r="B90" s="61">
        <v>17</v>
      </c>
      <c r="C90" s="188" t="s">
        <v>112</v>
      </c>
      <c r="D90" s="247">
        <f t="shared" si="46"/>
        <v>0</v>
      </c>
      <c r="E90" s="247">
        <f>AVERAGE(AN68:AY68)</f>
        <v>0</v>
      </c>
      <c r="F90"/>
      <c r="G90"/>
      <c r="H90"/>
      <c r="I90"/>
    </row>
    <row r="91" spans="2:9" ht="13.9">
      <c r="B91" s="61">
        <v>18</v>
      </c>
      <c r="C91" s="60" t="s">
        <v>291</v>
      </c>
      <c r="D91" s="247">
        <f t="shared" si="46"/>
        <v>0</v>
      </c>
      <c r="E91" s="247">
        <f>AVERAGE(AN69:AY69)</f>
        <v>0</v>
      </c>
      <c r="F91"/>
      <c r="G91"/>
      <c r="H91"/>
      <c r="I91"/>
    </row>
    <row r="92" spans="2:9" ht="13.9">
      <c r="B92" s="61"/>
      <c r="C92" s="159" t="s">
        <v>191</v>
      </c>
      <c r="D92" s="167">
        <f>SUM(D74:D91)</f>
        <v>25297.636919956509</v>
      </c>
      <c r="E92" s="167">
        <f>SUM(E74:E91)</f>
        <v>27174.167602569232</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C2091-3DC6-4BE7-A744-55B349900959}">
  <dimension ref="A2:K50"/>
  <sheetViews>
    <sheetView zoomScale="91" workbookViewId="0">
      <selection activeCell="K3" sqref="K3:K19"/>
    </sheetView>
  </sheetViews>
  <sheetFormatPr defaultColWidth="8.85546875" defaultRowHeight="13.15"/>
  <cols>
    <col min="1" max="1" width="51.7109375" style="169" bestFit="1" customWidth="1"/>
    <col min="2" max="2" width="8.7109375" style="169" bestFit="1" customWidth="1"/>
    <col min="3" max="3" width="49" style="169" customWidth="1"/>
    <col min="4" max="4" width="9.7109375" style="169" hidden="1" customWidth="1"/>
    <col min="5" max="9" width="14.85546875" style="169" customWidth="1"/>
    <col min="10" max="10" width="9.7109375" style="169" bestFit="1" customWidth="1"/>
    <col min="11" max="11" width="13.85546875" style="169" customWidth="1"/>
    <col min="12" max="16384" width="8.85546875" style="169"/>
  </cols>
  <sheetData>
    <row r="2" spans="1:11" ht="13.9">
      <c r="A2" s="149" t="s">
        <v>311</v>
      </c>
      <c r="B2" s="149" t="s">
        <v>2</v>
      </c>
      <c r="C2" s="149" t="s">
        <v>82</v>
      </c>
      <c r="D2" s="149" t="s">
        <v>399</v>
      </c>
      <c r="E2" s="149" t="s">
        <v>400</v>
      </c>
      <c r="F2" s="149" t="s">
        <v>401</v>
      </c>
      <c r="G2" s="149" t="s">
        <v>402</v>
      </c>
      <c r="H2" s="149" t="s">
        <v>403</v>
      </c>
      <c r="I2" s="149" t="s">
        <v>404</v>
      </c>
      <c r="J2" s="173"/>
      <c r="K2" s="149" t="s">
        <v>405</v>
      </c>
    </row>
    <row r="3" spans="1:11" ht="13.9">
      <c r="A3" s="174" t="str">
        <f>DL_PD_ES!B7</f>
        <v>email from MSEDCL dated 09-12-2024</v>
      </c>
      <c r="B3" s="61">
        <v>1</v>
      </c>
      <c r="C3" s="10" t="s">
        <v>96</v>
      </c>
      <c r="D3" s="154">
        <v>25460</v>
      </c>
      <c r="E3" s="154">
        <v>27732</v>
      </c>
      <c r="F3" s="154">
        <v>30520</v>
      </c>
      <c r="G3" s="154">
        <v>33521</v>
      </c>
      <c r="H3" s="154">
        <v>34287</v>
      </c>
      <c r="I3" s="154">
        <v>35334</v>
      </c>
      <c r="J3" s="173"/>
      <c r="K3" s="175">
        <f t="shared" ref="K3:K20" si="0">(I3/E3)^(1/4)-1</f>
        <v>6.2436306321020263E-2</v>
      </c>
    </row>
    <row r="4" spans="1:11" ht="13.9">
      <c r="A4" s="174" t="str">
        <f>DL_PD_ES!B8</f>
        <v>ST-DRAP MT-DRAP_dated 07-11-2024</v>
      </c>
      <c r="B4" s="61">
        <v>2</v>
      </c>
      <c r="C4" s="10" t="s">
        <v>97</v>
      </c>
      <c r="D4" s="154"/>
      <c r="E4" s="154">
        <f>DL_PD_ES!F8</f>
        <v>1030</v>
      </c>
      <c r="F4" s="154">
        <f>DL_PD_ES!G8</f>
        <v>1098</v>
      </c>
      <c r="G4" s="154">
        <f>DL_PD_ES!H8</f>
        <v>1190</v>
      </c>
      <c r="H4" s="154">
        <f>DL_PD_ES!I8</f>
        <v>1265</v>
      </c>
      <c r="I4" s="154">
        <f>DL_PD_ES!J8</f>
        <v>1343</v>
      </c>
      <c r="J4" s="387"/>
      <c r="K4" s="175">
        <f t="shared" si="0"/>
        <v>6.8586533890441448E-2</v>
      </c>
    </row>
    <row r="5" spans="1:11" ht="13.9">
      <c r="A5" s="174" t="str">
        <f>DL_PD_ES!B9</f>
        <v>AEML-D Peak demand and Sales_dated 09-12-2024</v>
      </c>
      <c r="B5" s="61">
        <v>3</v>
      </c>
      <c r="C5" s="10" t="s">
        <v>98</v>
      </c>
      <c r="D5" s="154">
        <v>2075.4135416971035</v>
      </c>
      <c r="E5" s="154">
        <f>DL_PD_ES!F9</f>
        <v>2335.6799999999998</v>
      </c>
      <c r="F5" s="154">
        <f>DL_PD_ES!G9</f>
        <v>2543.6889999999999</v>
      </c>
      <c r="G5" s="154">
        <f>DL_PD_ES!H9</f>
        <v>2752.4111899999998</v>
      </c>
      <c r="H5" s="154">
        <f>DL_PD_ES!I9</f>
        <v>2957.9960000000001</v>
      </c>
      <c r="I5" s="154">
        <f>DL_PD_ES!J9</f>
        <v>3114.1680900000001</v>
      </c>
      <c r="J5" s="387"/>
      <c r="K5" s="175">
        <f t="shared" si="0"/>
        <v>7.4563728625256953E-2</v>
      </c>
    </row>
    <row r="6" spans="1:11" ht="13.9">
      <c r="A6" s="174" t="str">
        <f>DL_PD_ES!B10</f>
        <v>BEST_TPC-D Details Sales and Peak Demand_dated 09-12-2024</v>
      </c>
      <c r="B6" s="61">
        <v>4</v>
      </c>
      <c r="C6" s="10" t="s">
        <v>99</v>
      </c>
      <c r="D6" s="56"/>
      <c r="E6" s="154">
        <f>DL_PD_ES!F10</f>
        <v>989.73</v>
      </c>
      <c r="F6" s="154">
        <f>DL_PD_ES!G10</f>
        <v>1001.97</v>
      </c>
      <c r="G6" s="154">
        <f>DL_PD_ES!H10</f>
        <v>1015.27</v>
      </c>
      <c r="H6" s="154">
        <f>DL_PD_ES!I10</f>
        <v>1029.98</v>
      </c>
      <c r="I6" s="154">
        <f>DL_PD_ES!J10</f>
        <v>1047.9000000000001</v>
      </c>
      <c r="J6" s="387"/>
      <c r="K6" s="175">
        <f t="shared" si="0"/>
        <v>1.4380230302149632E-2</v>
      </c>
    </row>
    <row r="7" spans="1:11" ht="13.9">
      <c r="A7" s="174" t="str">
        <f>DL_PD_ES!B11</f>
        <v>STU 19-11-2024 in email dated 19-11-24</v>
      </c>
      <c r="B7" s="61">
        <v>5</v>
      </c>
      <c r="C7" s="10" t="s">
        <v>100</v>
      </c>
      <c r="D7" s="56"/>
      <c r="E7" s="154">
        <f>DL_PD_ES!F11</f>
        <v>550.4</v>
      </c>
      <c r="F7" s="154">
        <f>DL_PD_ES!G11</f>
        <v>580.70000000000005</v>
      </c>
      <c r="G7" s="154">
        <f>DL_PD_ES!H11</f>
        <v>612.6</v>
      </c>
      <c r="H7" s="154">
        <f>DL_PD_ES!I11</f>
        <v>646.29999999999995</v>
      </c>
      <c r="I7" s="154">
        <f>DL_PD_ES!J11</f>
        <v>681.9</v>
      </c>
      <c r="J7" s="387"/>
      <c r="K7" s="175">
        <f t="shared" si="0"/>
        <v>5.5019693129072955E-2</v>
      </c>
    </row>
    <row r="8" spans="1:11" ht="13.9">
      <c r="A8" s="174" t="s">
        <v>406</v>
      </c>
      <c r="B8" s="61">
        <v>6</v>
      </c>
      <c r="C8" s="10" t="s">
        <v>101</v>
      </c>
      <c r="D8" s="56"/>
      <c r="E8" s="154">
        <v>10.5</v>
      </c>
      <c r="F8" s="154">
        <v>10.8</v>
      </c>
      <c r="G8" s="154">
        <v>11</v>
      </c>
      <c r="H8" s="154">
        <v>11.2</v>
      </c>
      <c r="I8" s="154">
        <v>11.4</v>
      </c>
      <c r="J8" s="387"/>
      <c r="K8" s="175">
        <f t="shared" si="0"/>
        <v>2.0772327457722284E-2</v>
      </c>
    </row>
    <row r="9" spans="1:11" ht="13.9">
      <c r="A9" s="174" t="str">
        <f>DL_PD_ES!B13</f>
        <v>Sales projection and peak load of SEZ_dated 09-12-2024</v>
      </c>
      <c r="B9" s="61">
        <v>7</v>
      </c>
      <c r="C9" s="10" t="s">
        <v>102</v>
      </c>
      <c r="D9" s="56"/>
      <c r="E9" s="154">
        <f>DL_PD_ES!F13</f>
        <v>5.75</v>
      </c>
      <c r="F9" s="154">
        <f>DL_PD_ES!G13</f>
        <v>6</v>
      </c>
      <c r="G9" s="154">
        <f>DL_PD_ES!H13</f>
        <v>6.15</v>
      </c>
      <c r="H9" s="154">
        <f>DL_PD_ES!I13</f>
        <v>6.3</v>
      </c>
      <c r="I9" s="154">
        <f>DL_PD_ES!J13</f>
        <v>6.45</v>
      </c>
      <c r="J9" s="387"/>
      <c r="K9" s="175">
        <f t="shared" si="0"/>
        <v>2.9136466948363582E-2</v>
      </c>
    </row>
    <row r="10" spans="1:11" ht="13.9">
      <c r="A10" s="174" t="s">
        <v>407</v>
      </c>
      <c r="B10" s="61">
        <v>8</v>
      </c>
      <c r="C10" s="10" t="s">
        <v>103</v>
      </c>
      <c r="D10" s="56"/>
      <c r="E10" s="154">
        <v>7.9</v>
      </c>
      <c r="F10" s="154">
        <v>8.0579999999999998</v>
      </c>
      <c r="G10" s="154">
        <v>8.2189999999999994</v>
      </c>
      <c r="H10" s="154">
        <v>8.3840000000000003</v>
      </c>
      <c r="I10" s="154">
        <v>8.5510000000000002</v>
      </c>
      <c r="J10" s="387"/>
      <c r="K10" s="175">
        <f t="shared" si="0"/>
        <v>1.9993616481586818E-2</v>
      </c>
    </row>
    <row r="11" spans="1:11" ht="13.9">
      <c r="A11" s="174" t="str">
        <f>DL_PD_ES!B15</f>
        <v xml:space="preserve">NUPLLP_STU_Demand dated </v>
      </c>
      <c r="B11" s="61">
        <v>9</v>
      </c>
      <c r="C11" s="10" t="s">
        <v>104</v>
      </c>
      <c r="D11" s="56"/>
      <c r="E11" s="154">
        <v>16.670000000000002</v>
      </c>
      <c r="F11" s="154">
        <v>20.73</v>
      </c>
      <c r="G11" s="154">
        <v>25.55</v>
      </c>
      <c r="H11" s="154">
        <v>30.85</v>
      </c>
      <c r="I11" s="154">
        <v>33.35</v>
      </c>
      <c r="J11" s="387"/>
      <c r="K11" s="175">
        <f t="shared" si="0"/>
        <v>0.18929627767363844</v>
      </c>
    </row>
    <row r="12" spans="1:11" ht="13.9">
      <c r="A12" s="174" t="str">
        <f>DL_PD_ES!B16</f>
        <v>RA Plan submitted by MADC</v>
      </c>
      <c r="B12" s="61">
        <v>10</v>
      </c>
      <c r="C12" s="10" t="s">
        <v>105</v>
      </c>
      <c r="D12" s="56"/>
      <c r="E12" s="154">
        <v>17.28</v>
      </c>
      <c r="F12" s="154">
        <v>18.662400000000002</v>
      </c>
      <c r="G12" s="154">
        <v>20.155392000000003</v>
      </c>
      <c r="H12" s="154">
        <v>21.767823360000005</v>
      </c>
      <c r="I12" s="154">
        <v>23.509249228800005</v>
      </c>
      <c r="J12" s="387"/>
      <c r="K12" s="175">
        <f t="shared" si="0"/>
        <v>8.0000000000000071E-2</v>
      </c>
    </row>
    <row r="13" spans="1:11" ht="13.9">
      <c r="A13" s="174" t="str">
        <f>DL_PD_ES!B17</f>
        <v>Sales and Peak Demand Data Shared_dated 09-12-2024</v>
      </c>
      <c r="B13" s="61">
        <v>11</v>
      </c>
      <c r="C13" s="10" t="s">
        <v>106</v>
      </c>
      <c r="D13" s="56"/>
      <c r="E13" s="154">
        <f>DL_PD_ES!F17</f>
        <v>5</v>
      </c>
      <c r="F13" s="154">
        <f>DL_PD_ES!G17</f>
        <v>5</v>
      </c>
      <c r="G13" s="154">
        <f>DL_PD_ES!H17</f>
        <v>5</v>
      </c>
      <c r="H13" s="154">
        <f>DL_PD_ES!I17</f>
        <v>5</v>
      </c>
      <c r="I13" s="154">
        <f>DL_PD_ES!J17</f>
        <v>5</v>
      </c>
      <c r="J13" s="387"/>
      <c r="K13" s="175">
        <f t="shared" si="0"/>
        <v>0</v>
      </c>
    </row>
    <row r="14" spans="1:11" ht="13.9">
      <c r="A14" s="174" t="str">
        <f>DL_PD_ES!B18</f>
        <v>Sales and Peak Demand Data Shared_dated 09-12-2024</v>
      </c>
      <c r="B14" s="61">
        <v>12</v>
      </c>
      <c r="C14" s="10" t="s">
        <v>107</v>
      </c>
      <c r="D14" s="56"/>
      <c r="E14" s="154">
        <f>DL_PD_ES!F18</f>
        <v>3</v>
      </c>
      <c r="F14" s="154">
        <f>DL_PD_ES!G18</f>
        <v>3</v>
      </c>
      <c r="G14" s="154">
        <f>DL_PD_ES!H18</f>
        <v>3</v>
      </c>
      <c r="H14" s="154">
        <f>DL_PD_ES!I18</f>
        <v>3</v>
      </c>
      <c r="I14" s="154">
        <f>DL_PD_ES!J18</f>
        <v>3</v>
      </c>
      <c r="J14" s="387"/>
      <c r="K14" s="175">
        <f t="shared" si="0"/>
        <v>0</v>
      </c>
    </row>
    <row r="15" spans="1:11" ht="13.9">
      <c r="A15" s="174" t="str">
        <f>DL_PD_ES!B19</f>
        <v>Sales projection and peak load of SEZ_dated 09-12-2024</v>
      </c>
      <c r="B15" s="61">
        <v>13</v>
      </c>
      <c r="C15" s="10" t="s">
        <v>108</v>
      </c>
      <c r="D15" s="56"/>
      <c r="E15" s="154">
        <f>DL_PD_ES!F19</f>
        <v>0.92</v>
      </c>
      <c r="F15" s="154">
        <f>DL_PD_ES!G19</f>
        <v>1.03</v>
      </c>
      <c r="G15" s="154">
        <f>DL_PD_ES!H19</f>
        <v>1.1499999999999999</v>
      </c>
      <c r="H15" s="154">
        <f>DL_PD_ES!I19</f>
        <v>1.29</v>
      </c>
      <c r="I15" s="154">
        <f>DL_PD_ES!J19</f>
        <v>1.44</v>
      </c>
      <c r="J15" s="387"/>
      <c r="K15" s="175">
        <f t="shared" si="0"/>
        <v>0.11851977378249723</v>
      </c>
    </row>
    <row r="16" spans="1:11" ht="13.9">
      <c r="A16" s="174" t="str">
        <f>DL_PD_ES!B20</f>
        <v>Sales projection and peak load of SEZ_dated 09-12-2024</v>
      </c>
      <c r="B16" s="61">
        <v>14</v>
      </c>
      <c r="C16" s="10" t="s">
        <v>109</v>
      </c>
      <c r="D16" s="56"/>
      <c r="E16" s="154">
        <f>DL_PD_ES!F20</f>
        <v>0.78</v>
      </c>
      <c r="F16" s="154">
        <f>DL_PD_ES!G20</f>
        <v>0.82</v>
      </c>
      <c r="G16" s="154">
        <f>DL_PD_ES!H20</f>
        <v>0.86</v>
      </c>
      <c r="H16" s="154">
        <f>DL_PD_ES!I20</f>
        <v>0.9</v>
      </c>
      <c r="I16" s="154">
        <f>DL_PD_ES!J20</f>
        <v>0.95</v>
      </c>
      <c r="J16" s="387"/>
      <c r="K16" s="175">
        <f t="shared" si="0"/>
        <v>5.0527076907473711E-2</v>
      </c>
    </row>
    <row r="17" spans="1:11" ht="13.9">
      <c r="A17" s="174" t="str">
        <f>DL_PD_ES!B21</f>
        <v>AEML SEEPZ sales and Demand forecast_email_09-12-24</v>
      </c>
      <c r="B17" s="61">
        <v>15</v>
      </c>
      <c r="C17" s="10" t="s">
        <v>110</v>
      </c>
      <c r="D17" s="56"/>
      <c r="E17" s="154">
        <v>35.294038629445453</v>
      </c>
      <c r="F17" s="154">
        <v>36.958458849323776</v>
      </c>
      <c r="G17" s="154">
        <v>38.60240409453651</v>
      </c>
      <c r="H17" s="154">
        <v>40.226249866822684</v>
      </c>
      <c r="I17" s="154">
        <v>41.830362541669871</v>
      </c>
      <c r="J17" s="387"/>
      <c r="K17" s="175">
        <f t="shared" si="0"/>
        <v>4.3392157233090867E-2</v>
      </c>
    </row>
    <row r="18" spans="1:11" ht="13.9">
      <c r="A18" s="174" t="str">
        <f>DL_PD_ES!B22</f>
        <v>Sales and Peak Demand Data Shared_dated 09-12-2024</v>
      </c>
      <c r="B18" s="61">
        <v>16</v>
      </c>
      <c r="C18" s="65" t="s">
        <v>111</v>
      </c>
      <c r="D18" s="56"/>
      <c r="E18" s="154">
        <f>DL_PD_ES!F22</f>
        <v>6</v>
      </c>
      <c r="F18" s="154">
        <f>DL_PD_ES!G22</f>
        <v>6</v>
      </c>
      <c r="G18" s="154">
        <f>DL_PD_ES!H22</f>
        <v>6</v>
      </c>
      <c r="H18" s="154">
        <f>DL_PD_ES!I22</f>
        <v>7</v>
      </c>
      <c r="I18" s="154">
        <f>DL_PD_ES!J22</f>
        <v>7</v>
      </c>
      <c r="J18" s="387"/>
      <c r="K18" s="175">
        <f t="shared" si="0"/>
        <v>3.9289877625411807E-2</v>
      </c>
    </row>
    <row r="19" spans="1:11" ht="13.9">
      <c r="A19" s="174" t="str">
        <f>DL_PD_ES!B23</f>
        <v>Sales and Peak Demand Data Shared_dated 09-12-2024</v>
      </c>
      <c r="B19" s="61">
        <v>17</v>
      </c>
      <c r="C19" s="65" t="s">
        <v>112</v>
      </c>
      <c r="D19" s="56"/>
      <c r="E19" s="154">
        <f>DL_PD_ES!F23</f>
        <v>6</v>
      </c>
      <c r="F19" s="154">
        <f>DL_PD_ES!G23</f>
        <v>7</v>
      </c>
      <c r="G19" s="154">
        <f>DL_PD_ES!H23</f>
        <v>7</v>
      </c>
      <c r="H19" s="154">
        <f>DL_PD_ES!I23</f>
        <v>7</v>
      </c>
      <c r="I19" s="154">
        <f>DL_PD_ES!J23</f>
        <v>7</v>
      </c>
      <c r="J19" s="387"/>
      <c r="K19" s="175">
        <f t="shared" si="0"/>
        <v>3.9289877625411807E-2</v>
      </c>
    </row>
    <row r="20" spans="1:11" ht="13.9">
      <c r="A20" s="174"/>
      <c r="B20" s="61">
        <v>18</v>
      </c>
      <c r="C20" s="65" t="s">
        <v>291</v>
      </c>
      <c r="D20" s="174"/>
      <c r="E20" s="154">
        <v>40</v>
      </c>
      <c r="F20" s="154">
        <v>40</v>
      </c>
      <c r="G20" s="154">
        <v>40</v>
      </c>
      <c r="H20" s="154">
        <v>40</v>
      </c>
      <c r="I20" s="154">
        <v>40</v>
      </c>
      <c r="J20" s="387"/>
      <c r="K20" s="175">
        <f t="shared" si="0"/>
        <v>0</v>
      </c>
    </row>
    <row r="21" spans="1:11" ht="13.9">
      <c r="A21" s="174"/>
      <c r="B21" s="61"/>
      <c r="C21" s="176" t="s">
        <v>191</v>
      </c>
      <c r="D21" s="148"/>
      <c r="E21" s="379">
        <f>SUM(E3:E20)</f>
        <v>32792.904038629444</v>
      </c>
      <c r="F21" s="379">
        <f t="shared" ref="F21:I21" si="1">SUM(F3:F20)</f>
        <v>35908.417858849323</v>
      </c>
      <c r="G21" s="379">
        <f t="shared" si="1"/>
        <v>39263.967986094533</v>
      </c>
      <c r="H21" s="379">
        <f t="shared" si="1"/>
        <v>40369.194073226827</v>
      </c>
      <c r="I21" s="379">
        <f t="shared" si="1"/>
        <v>41710.448701770467</v>
      </c>
      <c r="K21" s="179"/>
    </row>
    <row r="25" spans="1:11">
      <c r="E25" s="169">
        <f>0.7*8760/10^3</f>
        <v>6.1319999999999997</v>
      </c>
    </row>
    <row r="26" spans="1:11" ht="13.9">
      <c r="C26" s="147" t="s">
        <v>408</v>
      </c>
    </row>
    <row r="27" spans="1:11" ht="13.9">
      <c r="A27" s="149" t="s">
        <v>311</v>
      </c>
      <c r="B27" s="149" t="s">
        <v>2</v>
      </c>
      <c r="C27" s="149" t="s">
        <v>82</v>
      </c>
      <c r="D27" s="56"/>
      <c r="E27" s="149" t="s">
        <v>400</v>
      </c>
      <c r="F27" s="149" t="s">
        <v>401</v>
      </c>
      <c r="G27" s="149" t="s">
        <v>402</v>
      </c>
      <c r="H27" s="149" t="s">
        <v>403</v>
      </c>
      <c r="I27" s="149" t="s">
        <v>404</v>
      </c>
    </row>
    <row r="28" spans="1:11" ht="13.9">
      <c r="A28" s="174" t="str">
        <f>DL_PD_ES!Q7</f>
        <v>email from MSEDCL dated 09-12-2024</v>
      </c>
      <c r="B28" s="61">
        <v>1</v>
      </c>
      <c r="C28" s="10" t="s">
        <v>96</v>
      </c>
      <c r="D28" s="56"/>
      <c r="E28" s="181">
        <f>DL_PD_ES!U7</f>
        <v>158306.14000000001</v>
      </c>
      <c r="F28" s="181">
        <f>DL_PD_ES!V7</f>
        <v>167273.57999999999</v>
      </c>
      <c r="G28" s="181">
        <f>DL_PD_ES!W7</f>
        <v>175796.1</v>
      </c>
      <c r="H28" s="181">
        <f>DL_PD_ES!X7</f>
        <v>184366.62</v>
      </c>
      <c r="I28" s="181">
        <f>DL_PD_ES!Y7</f>
        <v>193580.03</v>
      </c>
    </row>
    <row r="29" spans="1:11" ht="13.9">
      <c r="A29" s="174" t="str">
        <f>DL_PD_ES!Q8</f>
        <v>BEST_TPC-D Details Sales and Peak Demand_dated 09-12-2024</v>
      </c>
      <c r="B29" s="61">
        <v>2</v>
      </c>
      <c r="C29" s="10" t="s">
        <v>97</v>
      </c>
      <c r="D29" s="56"/>
      <c r="E29" s="181">
        <f>DL_PD_ES!U8</f>
        <v>6555.16</v>
      </c>
      <c r="F29" s="181">
        <f>DL_PD_ES!V8</f>
        <v>7013.48</v>
      </c>
      <c r="G29" s="181">
        <f>DL_PD_ES!W8</f>
        <v>7517.7</v>
      </c>
      <c r="H29" s="181">
        <f>DL_PD_ES!X8</f>
        <v>8064.03</v>
      </c>
      <c r="I29" s="181">
        <f>DL_PD_ES!Y8</f>
        <v>8631.91</v>
      </c>
    </row>
    <row r="30" spans="1:11" ht="13.9">
      <c r="A30" s="174" t="str">
        <f>DL_PD_ES!Q9</f>
        <v>AEML-D Peak demand and Sales_dated 09-12-2024</v>
      </c>
      <c r="B30" s="61">
        <v>3</v>
      </c>
      <c r="C30" s="10" t="s">
        <v>98</v>
      </c>
      <c r="D30" s="56"/>
      <c r="E30" s="181">
        <f>DL_PD_ES!U9</f>
        <v>12177</v>
      </c>
      <c r="F30" s="181">
        <f>DL_PD_ES!V9</f>
        <v>13366</v>
      </c>
      <c r="G30" s="181">
        <f>DL_PD_ES!W9</f>
        <v>14574</v>
      </c>
      <c r="H30" s="181">
        <f>DL_PD_ES!X9</f>
        <v>15782</v>
      </c>
      <c r="I30" s="181">
        <f>DL_PD_ES!Y9</f>
        <v>16753</v>
      </c>
    </row>
    <row r="31" spans="1:11" ht="13.9">
      <c r="A31" s="174" t="str">
        <f>DL_PD_ES!Q10</f>
        <v>BEST_TPC-D Details Sales and Peak Demand_dated 09-12-2024</v>
      </c>
      <c r="B31" s="61">
        <v>4</v>
      </c>
      <c r="C31" s="10" t="s">
        <v>99</v>
      </c>
      <c r="D31" s="56"/>
      <c r="E31" s="181">
        <f>DL_PD_ES!U10</f>
        <v>4837.7700000000004</v>
      </c>
      <c r="F31" s="181">
        <f>DL_PD_ES!V10</f>
        <v>4879.2700000000004</v>
      </c>
      <c r="G31" s="181">
        <f>DL_PD_ES!W10</f>
        <v>4924</v>
      </c>
      <c r="H31" s="181">
        <f>DL_PD_ES!X10</f>
        <v>4974.42</v>
      </c>
      <c r="I31" s="181">
        <f>DL_PD_ES!Y10</f>
        <v>5030.97</v>
      </c>
    </row>
    <row r="32" spans="1:11" ht="13.9">
      <c r="A32" s="174" t="str">
        <f>DL_PD_ES!Q11</f>
        <v>Idam Data Template for MERC</v>
      </c>
      <c r="B32" s="61">
        <v>5</v>
      </c>
      <c r="C32" s="10" t="s">
        <v>100</v>
      </c>
      <c r="D32" s="56"/>
      <c r="E32" s="181">
        <f>DL_PD_ES!U11</f>
        <v>4078.6053120000006</v>
      </c>
      <c r="F32" s="181">
        <f>DL_PD_ES!V11</f>
        <v>4336.3731677183996</v>
      </c>
      <c r="G32" s="181">
        <f>DL_PD_ES!W11</f>
        <v>4610.4319519182036</v>
      </c>
      <c r="H32" s="181">
        <f>DL_PD_ES!X11</f>
        <v>4901.8112512794341</v>
      </c>
      <c r="I32" s="181">
        <f>DL_PD_ES!Y11</f>
        <v>5211.6057223602938</v>
      </c>
    </row>
    <row r="33" spans="1:9" ht="13.9">
      <c r="A33" s="174" t="str">
        <f>DL_PD_ES!Q12</f>
        <v>Sales projection and peak load of SEZ_dated 09-12-2024</v>
      </c>
      <c r="B33" s="61">
        <v>6</v>
      </c>
      <c r="C33" s="10" t="s">
        <v>101</v>
      </c>
      <c r="D33" s="56"/>
      <c r="E33" s="181">
        <f>DL_PD_ES!U12</f>
        <v>53.79</v>
      </c>
      <c r="F33" s="181">
        <f>DL_PD_ES!V12</f>
        <v>53.79</v>
      </c>
      <c r="G33" s="181">
        <f>DL_PD_ES!W12</f>
        <v>53.79</v>
      </c>
      <c r="H33" s="181">
        <f>DL_PD_ES!X12</f>
        <v>53.79</v>
      </c>
      <c r="I33" s="181">
        <f>DL_PD_ES!Y12</f>
        <v>53.79</v>
      </c>
    </row>
    <row r="34" spans="1:9" ht="13.9">
      <c r="A34" s="174" t="str">
        <f>DL_PD_ES!Q13</f>
        <v>Sales projection and peak load of SEZ_dated 09-12-2024</v>
      </c>
      <c r="B34" s="61">
        <v>7</v>
      </c>
      <c r="C34" s="10" t="s">
        <v>102</v>
      </c>
      <c r="D34" s="56"/>
      <c r="E34" s="181">
        <f>DL_PD_ES!U13</f>
        <v>27.72</v>
      </c>
      <c r="F34" s="181">
        <f>DL_PD_ES!V13</f>
        <v>28.41</v>
      </c>
      <c r="G34" s="181">
        <f>DL_PD_ES!W13</f>
        <v>29.13</v>
      </c>
      <c r="H34" s="181">
        <f>DL_PD_ES!X13</f>
        <v>29.87</v>
      </c>
      <c r="I34" s="181">
        <f>DL_PD_ES!Y13</f>
        <v>30.64</v>
      </c>
    </row>
    <row r="35" spans="1:9" ht="13.9">
      <c r="A35" s="174" t="str">
        <f>DL_PD_ES!Q14</f>
        <v>Sales projection and peak load of SEZ_dated 09-12-2024</v>
      </c>
      <c r="B35" s="61">
        <v>8</v>
      </c>
      <c r="C35" s="10" t="s">
        <v>103</v>
      </c>
      <c r="D35" s="56"/>
      <c r="E35" s="181">
        <f>DL_PD_ES!U14</f>
        <v>27.08</v>
      </c>
      <c r="F35" s="181">
        <f>DL_PD_ES!V14</f>
        <v>28.43</v>
      </c>
      <c r="G35" s="181">
        <f>DL_PD_ES!W14</f>
        <v>28.43</v>
      </c>
      <c r="H35" s="181">
        <f>DL_PD_ES!X14</f>
        <v>28.43</v>
      </c>
      <c r="I35" s="181">
        <f>DL_PD_ES!Y14</f>
        <v>28.43</v>
      </c>
    </row>
    <row r="36" spans="1:9" ht="13.9">
      <c r="A36" s="174" t="str">
        <f>DL_PD_ES!Q15</f>
        <v>not filed</v>
      </c>
      <c r="B36" s="61">
        <v>9</v>
      </c>
      <c r="C36" s="377" t="s">
        <v>104</v>
      </c>
      <c r="D36" s="56"/>
      <c r="E36" s="181">
        <f>$E$25*E11</f>
        <v>102.22044000000001</v>
      </c>
      <c r="F36" s="181">
        <f t="shared" ref="F36:I36" si="2">$E$25*F11</f>
        <v>127.11636</v>
      </c>
      <c r="G36" s="181">
        <f t="shared" si="2"/>
        <v>156.67259999999999</v>
      </c>
      <c r="H36" s="181">
        <f t="shared" si="2"/>
        <v>189.1722</v>
      </c>
      <c r="I36" s="181">
        <f t="shared" si="2"/>
        <v>204.50219999999999</v>
      </c>
    </row>
    <row r="37" spans="1:9" ht="13.9">
      <c r="A37" s="174" t="s">
        <v>329</v>
      </c>
      <c r="B37" s="61">
        <v>10</v>
      </c>
      <c r="C37" s="10" t="s">
        <v>105</v>
      </c>
      <c r="D37" s="56"/>
      <c r="E37" s="181">
        <f>DL_PD_ES!U16</f>
        <v>96.3</v>
      </c>
      <c r="F37" s="181">
        <f>DL_PD_ES!V16</f>
        <v>104.01</v>
      </c>
      <c r="G37" s="181">
        <f>DL_PD_ES!W16</f>
        <v>112.33</v>
      </c>
      <c r="H37" s="181">
        <f>DL_PD_ES!X16</f>
        <v>121.31</v>
      </c>
      <c r="I37" s="181">
        <f>DL_PD_ES!Y16</f>
        <v>131.02000000000001</v>
      </c>
    </row>
    <row r="38" spans="1:9" ht="13.9">
      <c r="A38" s="174" t="str">
        <f>DL_PD_ES!Q17</f>
        <v>Sales and Peak Demand Data Shared_dated 09-12-2024</v>
      </c>
      <c r="B38" s="61">
        <v>11</v>
      </c>
      <c r="C38" s="10" t="s">
        <v>106</v>
      </c>
      <c r="D38" s="56"/>
      <c r="E38" s="181">
        <f>DL_PD_ES!U17</f>
        <v>44.62</v>
      </c>
      <c r="F38" s="181">
        <f>DL_PD_ES!V17</f>
        <v>45.96</v>
      </c>
      <c r="G38" s="181">
        <f>DL_PD_ES!W17</f>
        <v>47.34</v>
      </c>
      <c r="H38" s="181">
        <f>DL_PD_ES!X17</f>
        <v>48.76</v>
      </c>
      <c r="I38" s="181">
        <f>DL_PD_ES!Y17</f>
        <v>50.22</v>
      </c>
    </row>
    <row r="39" spans="1:9" ht="13.9">
      <c r="A39" s="174" t="str">
        <f>DL_PD_ES!Q18</f>
        <v>Sales and Peak Demand Data Shared_dated 09-12-2024</v>
      </c>
      <c r="B39" s="61">
        <v>12</v>
      </c>
      <c r="C39" s="10" t="s">
        <v>107</v>
      </c>
      <c r="D39" s="56"/>
      <c r="E39" s="181">
        <f>DL_PD_ES!U18</f>
        <v>24.6</v>
      </c>
      <c r="F39" s="181">
        <f>DL_PD_ES!V18</f>
        <v>25.09</v>
      </c>
      <c r="G39" s="181">
        <f>DL_PD_ES!W18</f>
        <v>25.59</v>
      </c>
      <c r="H39" s="181">
        <f>DL_PD_ES!X18</f>
        <v>26.1</v>
      </c>
      <c r="I39" s="181">
        <f>DL_PD_ES!Y18</f>
        <v>26.62</v>
      </c>
    </row>
    <row r="40" spans="1:9" ht="13.9">
      <c r="A40" s="174" t="str">
        <f>DL_PD_ES!Q19</f>
        <v>Sales projection and peak load of SEZ_dated 09-12-2024</v>
      </c>
      <c r="B40" s="61">
        <v>13</v>
      </c>
      <c r="C40" s="10" t="s">
        <v>108</v>
      </c>
      <c r="D40" s="56"/>
      <c r="E40" s="181">
        <f>DL_PD_ES!U19</f>
        <v>6.21</v>
      </c>
      <c r="F40" s="181">
        <f>DL_PD_ES!V19</f>
        <v>6.94</v>
      </c>
      <c r="G40" s="181">
        <f>DL_PD_ES!W19</f>
        <v>7.77</v>
      </c>
      <c r="H40" s="181">
        <f>DL_PD_ES!X19</f>
        <v>8.69</v>
      </c>
      <c r="I40" s="181">
        <f>DL_PD_ES!Y19</f>
        <v>9.73</v>
      </c>
    </row>
    <row r="41" spans="1:9" ht="13.9">
      <c r="A41" s="174" t="str">
        <f>DL_PD_ES!Q20</f>
        <v>Sales projection and peak load of SEZ_dated 09-12-2024</v>
      </c>
      <c r="B41" s="61">
        <v>14</v>
      </c>
      <c r="C41" s="10" t="s">
        <v>109</v>
      </c>
      <c r="D41" s="56"/>
      <c r="E41" s="181">
        <f>DL_PD_ES!U20</f>
        <v>3.98</v>
      </c>
      <c r="F41" s="181">
        <f>DL_PD_ES!V20</f>
        <v>4.0999999999999996</v>
      </c>
      <c r="G41" s="181">
        <f>DL_PD_ES!W20</f>
        <v>4.22</v>
      </c>
      <c r="H41" s="181">
        <f>DL_PD_ES!X20</f>
        <v>4.3499999999999996</v>
      </c>
      <c r="I41" s="181">
        <f>DL_PD_ES!Y20</f>
        <v>4.4800000000000004</v>
      </c>
    </row>
    <row r="42" spans="1:9" ht="13.9">
      <c r="A42" s="174" t="str">
        <f>DL_PD_ES!Q21</f>
        <v>AEML SEEPZ sales and Demand forecast_email_09-12-24</v>
      </c>
      <c r="B42" s="61">
        <v>15</v>
      </c>
      <c r="C42" s="10" t="s">
        <v>110</v>
      </c>
      <c r="D42" s="56"/>
      <c r="E42" s="181">
        <f>DL_PD_ES!U21</f>
        <v>116.83</v>
      </c>
      <c r="F42" s="181">
        <f>DL_PD_ES!V21</f>
        <v>123.1</v>
      </c>
      <c r="G42" s="181">
        <f>DL_PD_ES!W21</f>
        <v>129.37</v>
      </c>
      <c r="H42" s="181">
        <f>DL_PD_ES!X21</f>
        <v>135.65</v>
      </c>
      <c r="I42" s="181">
        <f>DL_PD_ES!Y21</f>
        <v>142.06</v>
      </c>
    </row>
    <row r="43" spans="1:9" ht="13.9">
      <c r="A43" s="174" t="str">
        <f>DL_PD_ES!Q22</f>
        <v>Sales and Peak Demand Data Shared_dated 09-12-2024</v>
      </c>
      <c r="B43" s="61">
        <v>16</v>
      </c>
      <c r="C43" s="65" t="s">
        <v>111</v>
      </c>
      <c r="D43" s="56"/>
      <c r="E43" s="181">
        <f>DL_PD_ES!U22</f>
        <v>122.7</v>
      </c>
      <c r="F43" s="181">
        <f>DL_PD_ES!V22</f>
        <v>127.61</v>
      </c>
      <c r="G43" s="181">
        <f>DL_PD_ES!W22</f>
        <v>132.71</v>
      </c>
      <c r="H43" s="181">
        <f>DL_PD_ES!X22</f>
        <v>138.02000000000001</v>
      </c>
      <c r="I43" s="181">
        <f>DL_PD_ES!Y22</f>
        <v>143.54</v>
      </c>
    </row>
    <row r="44" spans="1:9" ht="13.9">
      <c r="A44" s="174" t="str">
        <f>DL_PD_ES!Q23</f>
        <v>Sales and Peak Demand Data Shared_dated 09-12-2024</v>
      </c>
      <c r="B44" s="61">
        <v>17</v>
      </c>
      <c r="C44" s="65" t="s">
        <v>112</v>
      </c>
      <c r="D44" s="56"/>
      <c r="E44" s="181">
        <f>DL_PD_ES!U23</f>
        <v>119.32</v>
      </c>
      <c r="F44" s="181">
        <f>DL_PD_ES!V23</f>
        <v>127.67</v>
      </c>
      <c r="G44" s="181">
        <f>DL_PD_ES!W23</f>
        <v>127.67</v>
      </c>
      <c r="H44" s="181">
        <f>DL_PD_ES!X23</f>
        <v>141.11000000000001</v>
      </c>
      <c r="I44" s="181">
        <f>DL_PD_ES!Y23</f>
        <v>147.83000000000001</v>
      </c>
    </row>
    <row r="45" spans="1:9" ht="13.9">
      <c r="B45" s="61">
        <v>18</v>
      </c>
      <c r="C45" s="378" t="s">
        <v>291</v>
      </c>
      <c r="D45" s="56"/>
      <c r="E45" s="181">
        <f t="shared" ref="E45:I45" si="3">$E$25*E20</f>
        <v>245.27999999999997</v>
      </c>
      <c r="F45" s="181">
        <f t="shared" si="3"/>
        <v>245.27999999999997</v>
      </c>
      <c r="G45" s="181">
        <f t="shared" si="3"/>
        <v>245.27999999999997</v>
      </c>
      <c r="H45" s="181">
        <f t="shared" si="3"/>
        <v>245.27999999999997</v>
      </c>
      <c r="I45" s="181">
        <f t="shared" si="3"/>
        <v>245.27999999999997</v>
      </c>
    </row>
    <row r="46" spans="1:9" ht="13.9">
      <c r="B46" s="61"/>
      <c r="C46" s="159" t="s">
        <v>191</v>
      </c>
      <c r="D46" s="56"/>
      <c r="E46" s="261">
        <f>SUM(E28:E45)</f>
        <v>186945.325752</v>
      </c>
      <c r="F46" s="261">
        <f t="shared" ref="F46:I46" si="4">SUM(F28:F45)</f>
        <v>197916.20952771843</v>
      </c>
      <c r="G46" s="261">
        <f t="shared" si="4"/>
        <v>208522.53455191819</v>
      </c>
      <c r="H46" s="261">
        <f t="shared" si="4"/>
        <v>219259.41345127943</v>
      </c>
      <c r="I46" s="261">
        <f t="shared" si="4"/>
        <v>230425.65792236029</v>
      </c>
    </row>
    <row r="50" spans="5:5">
      <c r="E50" s="169">
        <f>E7*$E$25</f>
        <v>3375.0527999999995</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851D8-2C67-4F5C-B1B1-6D4ABF1484D3}">
  <dimension ref="A1:S22"/>
  <sheetViews>
    <sheetView workbookViewId="0">
      <selection activeCell="Q10" sqref="Q10"/>
    </sheetView>
  </sheetViews>
  <sheetFormatPr defaultColWidth="8.85546875" defaultRowHeight="13.15"/>
  <cols>
    <col min="1" max="1" width="8.85546875" style="169"/>
    <col min="2" max="2" width="49" style="169" customWidth="1"/>
    <col min="3" max="6" width="12.28515625" style="169" hidden="1" customWidth="1"/>
    <col min="7" max="7" width="8.7109375" style="169" hidden="1" customWidth="1"/>
    <col min="8" max="8" width="13.42578125" style="169" customWidth="1"/>
    <col min="9" max="9" width="14.140625" style="169" customWidth="1"/>
    <col min="10" max="10" width="14.140625" style="169" hidden="1" customWidth="1"/>
    <col min="11" max="15" width="14.85546875" style="169" hidden="1" customWidth="1"/>
    <col min="16" max="16" width="8.7109375" style="169" hidden="1" customWidth="1"/>
    <col min="17" max="17" width="13.85546875" style="169" customWidth="1"/>
    <col min="18" max="16384" width="8.85546875" style="169"/>
  </cols>
  <sheetData>
    <row r="1" spans="1:19">
      <c r="A1" s="473" t="s">
        <v>409</v>
      </c>
      <c r="B1" s="473"/>
      <c r="C1" s="473"/>
      <c r="D1" s="473"/>
      <c r="E1" s="473"/>
      <c r="F1" s="473"/>
      <c r="G1" s="473"/>
      <c r="H1" s="473"/>
      <c r="I1" s="473"/>
      <c r="J1" s="473"/>
      <c r="K1" s="473"/>
      <c r="L1" s="473"/>
      <c r="M1" s="473"/>
      <c r="N1" s="473"/>
    </row>
    <row r="2" spans="1:19" ht="13.9">
      <c r="C2" s="474" t="s">
        <v>410</v>
      </c>
      <c r="D2" s="474"/>
      <c r="E2" s="474"/>
      <c r="F2" s="474"/>
      <c r="K2" s="474" t="s">
        <v>411</v>
      </c>
      <c r="L2" s="474"/>
      <c r="M2" s="474"/>
      <c r="N2" s="474"/>
      <c r="O2" s="474"/>
    </row>
    <row r="3" spans="1:19" ht="13.9">
      <c r="A3" s="149" t="s">
        <v>2</v>
      </c>
      <c r="B3" s="149" t="s">
        <v>82</v>
      </c>
      <c r="C3" s="151" t="s">
        <v>120</v>
      </c>
      <c r="D3" s="151" t="s">
        <v>119</v>
      </c>
      <c r="E3" s="151" t="s">
        <v>51</v>
      </c>
      <c r="F3" s="151" t="s">
        <v>52</v>
      </c>
      <c r="H3" s="161" t="s">
        <v>397</v>
      </c>
      <c r="I3" s="170" t="s">
        <v>398</v>
      </c>
      <c r="J3" s="37"/>
      <c r="K3" s="171" t="s">
        <v>400</v>
      </c>
      <c r="L3" s="149" t="s">
        <v>401</v>
      </c>
      <c r="M3" s="149" t="s">
        <v>402</v>
      </c>
      <c r="N3" s="149" t="s">
        <v>403</v>
      </c>
      <c r="O3" s="149" t="s">
        <v>404</v>
      </c>
      <c r="Q3" s="149" t="s">
        <v>405</v>
      </c>
    </row>
    <row r="4" spans="1:19" ht="13.9">
      <c r="A4" s="61">
        <v>1</v>
      </c>
      <c r="B4" s="60" t="s">
        <v>96</v>
      </c>
      <c r="C4" s="158" t="e">
        <f>'Demand Projections Historical'!#REF!</f>
        <v>#REF!</v>
      </c>
      <c r="D4" s="158">
        <f>'Demand Projections Historical'!BI52</f>
        <v>20236.826114583328</v>
      </c>
      <c r="E4" s="158">
        <f>'Demand Projections Historical'!BJ52</f>
        <v>21657.67853029129</v>
      </c>
      <c r="F4" s="158">
        <f>'Demand Projections Historical'!BK52</f>
        <v>23299.942140979343</v>
      </c>
      <c r="H4" s="172">
        <f>'Demand Projections Historical'!BM52</f>
        <v>9.5946203418577403E-2</v>
      </c>
      <c r="I4" s="172">
        <f>'Demand Projections Historical'!BN52</f>
        <v>0.10544629385750105</v>
      </c>
      <c r="K4" s="158">
        <f>'Demand Projections RA'!E3</f>
        <v>27732</v>
      </c>
      <c r="L4" s="158">
        <f>'Demand Projections RA'!F3</f>
        <v>30520</v>
      </c>
      <c r="M4" s="158">
        <f>'Demand Projections RA'!G3</f>
        <v>33521</v>
      </c>
      <c r="N4" s="158">
        <f>'Demand Projections RA'!H3</f>
        <v>34287</v>
      </c>
      <c r="O4" s="158">
        <f>'Demand Projections RA'!I3</f>
        <v>35334</v>
      </c>
      <c r="Q4" s="172">
        <f>'Demand Projections RA'!K3</f>
        <v>6.2436306321020263E-2</v>
      </c>
      <c r="S4"/>
    </row>
    <row r="5" spans="1:19" ht="13.9">
      <c r="A5" s="61">
        <v>2</v>
      </c>
      <c r="B5" s="60" t="s">
        <v>97</v>
      </c>
      <c r="C5" s="158" t="e">
        <f>'Demand Projections Historical'!#REF!</f>
        <v>#REF!</v>
      </c>
      <c r="D5" s="158">
        <f>'Demand Projections Historical'!BI53</f>
        <v>742.92304777409993</v>
      </c>
      <c r="E5" s="158">
        <f>'Demand Projections Historical'!BJ53</f>
        <v>840.76851174359581</v>
      </c>
      <c r="F5" s="158">
        <f>'Demand Projections Historical'!BK53</f>
        <v>887.88524415390566</v>
      </c>
      <c r="H5" s="172">
        <f>'Demand Projections Historical'!BM53</f>
        <v>0.10510834449260353</v>
      </c>
      <c r="I5" s="172">
        <f>'Demand Projections Historical'!BN53</f>
        <v>0.11654317930557977</v>
      </c>
      <c r="K5" s="158">
        <f>'Demand Projections RA'!E4</f>
        <v>1030</v>
      </c>
      <c r="L5" s="158">
        <f>'Demand Projections RA'!F4</f>
        <v>1098</v>
      </c>
      <c r="M5" s="158">
        <f>'Demand Projections RA'!G4</f>
        <v>1190</v>
      </c>
      <c r="N5" s="158">
        <f>'Demand Projections RA'!H4</f>
        <v>1265</v>
      </c>
      <c r="O5" s="158">
        <f>'Demand Projections RA'!I4</f>
        <v>1343</v>
      </c>
      <c r="Q5" s="172">
        <f>'Demand Projections RA'!K4</f>
        <v>6.8586533890441448E-2</v>
      </c>
      <c r="S5"/>
    </row>
    <row r="6" spans="1:19" ht="13.9">
      <c r="A6" s="61">
        <v>3</v>
      </c>
      <c r="B6" s="60" t="s">
        <v>98</v>
      </c>
      <c r="C6" s="158" t="e">
        <f>'Demand Projections Historical'!#REF!</f>
        <v>#REF!</v>
      </c>
      <c r="D6" s="158">
        <f>'Demand Projections Historical'!BI54</f>
        <v>1346.7361658408295</v>
      </c>
      <c r="E6" s="158">
        <f>'Demand Projections Historical'!BJ54</f>
        <v>1520.3184966791343</v>
      </c>
      <c r="F6" s="158">
        <f>'Demand Projections Historical'!BK54</f>
        <v>1620.5122889019176</v>
      </c>
      <c r="H6" s="172">
        <f>'Demand Projections Historical'!BM54</f>
        <v>9.9865850544190726E-2</v>
      </c>
      <c r="I6" s="172">
        <f>'Demand Projections Historical'!BN54</f>
        <v>0.11017103228668339</v>
      </c>
      <c r="K6" s="158">
        <f>'Demand Projections RA'!E5</f>
        <v>2335.6799999999998</v>
      </c>
      <c r="L6" s="158">
        <f>'Demand Projections RA'!F5</f>
        <v>2543.6889999999999</v>
      </c>
      <c r="M6" s="158">
        <f>'Demand Projections RA'!G5</f>
        <v>2752.4111899999998</v>
      </c>
      <c r="N6" s="158">
        <f>'Demand Projections RA'!H5</f>
        <v>2957.9960000000001</v>
      </c>
      <c r="O6" s="158">
        <f>'Demand Projections RA'!I5</f>
        <v>3114.1680900000001</v>
      </c>
      <c r="Q6" s="172">
        <f>'Demand Projections RA'!K5</f>
        <v>7.4563728625256953E-2</v>
      </c>
      <c r="S6"/>
    </row>
    <row r="7" spans="1:19" ht="13.9">
      <c r="A7" s="61">
        <v>4</v>
      </c>
      <c r="B7" s="60" t="s">
        <v>99</v>
      </c>
      <c r="C7" s="158" t="e">
        <f>'Demand Projections Historical'!#REF!</f>
        <v>#REF!</v>
      </c>
      <c r="D7" s="158">
        <f>'Demand Projections Historical'!BI55</f>
        <v>698.49509163311825</v>
      </c>
      <c r="E7" s="158">
        <f>'Demand Projections Historical'!BJ55</f>
        <v>766.74492025824748</v>
      </c>
      <c r="F7" s="158">
        <f>'Demand Projections Historical'!BK55</f>
        <v>809.62212685602651</v>
      </c>
      <c r="H7" s="172">
        <f>'Demand Projections Historical'!BM55</f>
        <v>9.4928912254450326E-2</v>
      </c>
      <c r="I7" s="172">
        <f>'Demand Projections Historical'!BN55</f>
        <v>0.10422556121598632</v>
      </c>
      <c r="K7" s="158">
        <f>'Demand Projections RA'!E6</f>
        <v>989.73</v>
      </c>
      <c r="L7" s="158">
        <f>'Demand Projections RA'!F6</f>
        <v>1001.97</v>
      </c>
      <c r="M7" s="158">
        <f>'Demand Projections RA'!G6</f>
        <v>1015.27</v>
      </c>
      <c r="N7" s="158">
        <f>'Demand Projections RA'!H6</f>
        <v>1029.98</v>
      </c>
      <c r="O7" s="158">
        <f>'Demand Projections RA'!I6</f>
        <v>1047.9000000000001</v>
      </c>
      <c r="Q7" s="172">
        <f>'Demand Projections RA'!K6</f>
        <v>1.4380230302149632E-2</v>
      </c>
      <c r="S7"/>
    </row>
    <row r="8" spans="1:19" ht="13.9">
      <c r="A8" s="61">
        <v>5</v>
      </c>
      <c r="B8" s="156" t="s">
        <v>100</v>
      </c>
      <c r="C8" s="158" t="e">
        <f>'Demand Projections Historical'!#REF!</f>
        <v>#REF!</v>
      </c>
      <c r="D8" s="158">
        <f>'Demand Projections Historical'!BI56</f>
        <v>357.75</v>
      </c>
      <c r="E8" s="158">
        <f>'Demand Projections Historical'!BJ56</f>
        <v>465.27687453063868</v>
      </c>
      <c r="F8" s="158">
        <f>'Demand Projections Historical'!BK56</f>
        <v>476.29576368417844</v>
      </c>
      <c r="H8" s="172">
        <f>'Demand Projections Historical'!BM56</f>
        <v>0.27011740195732714</v>
      </c>
      <c r="I8" s="172">
        <f>'Demand Projections Historical'!BN56</f>
        <v>0.34965037512220126</v>
      </c>
      <c r="K8" s="158">
        <f>'Demand Projections RA'!E7</f>
        <v>550.4</v>
      </c>
      <c r="L8" s="158">
        <f>'Demand Projections RA'!F7</f>
        <v>580.70000000000005</v>
      </c>
      <c r="M8" s="158">
        <f>'Demand Projections RA'!G7</f>
        <v>612.6</v>
      </c>
      <c r="N8" s="158">
        <f>'Demand Projections RA'!H7</f>
        <v>646.29999999999995</v>
      </c>
      <c r="O8" s="158">
        <f>'Demand Projections RA'!I7</f>
        <v>681.9</v>
      </c>
      <c r="Q8" s="172">
        <f>'Demand Projections RA'!K7</f>
        <v>5.5019693129072955E-2</v>
      </c>
      <c r="S8"/>
    </row>
    <row r="9" spans="1:19" ht="13.9">
      <c r="A9" s="61">
        <v>6</v>
      </c>
      <c r="B9" s="60" t="s">
        <v>101</v>
      </c>
      <c r="C9" s="158" t="e">
        <f>'Demand Projections Historical'!#REF!</f>
        <v>#REF!</v>
      </c>
      <c r="D9" s="158">
        <f>'Demand Projections Historical'!BI57</f>
        <v>6.808906798181094</v>
      </c>
      <c r="E9" s="158">
        <f>'Demand Projections Historical'!BJ57</f>
        <v>8.8263642335825754</v>
      </c>
      <c r="F9" s="158">
        <f>'Demand Projections Historical'!BK57</f>
        <v>9.6288927584068791</v>
      </c>
      <c r="H9" s="172">
        <f>'Demand Projections Historical'!BM57</f>
        <v>0.12640269016067229</v>
      </c>
      <c r="I9" s="172">
        <f>'Demand Projections Historical'!BN57</f>
        <v>0.14305353580336491</v>
      </c>
      <c r="K9" s="158">
        <f>'Demand Projections RA'!E8</f>
        <v>10.5</v>
      </c>
      <c r="L9" s="158">
        <f>'Demand Projections RA'!F8</f>
        <v>10.8</v>
      </c>
      <c r="M9" s="158">
        <f>'Demand Projections RA'!G8</f>
        <v>11</v>
      </c>
      <c r="N9" s="158">
        <f>'Demand Projections RA'!H8</f>
        <v>11.2</v>
      </c>
      <c r="O9" s="158">
        <f>'Demand Projections RA'!I8</f>
        <v>11.4</v>
      </c>
      <c r="Q9" s="172">
        <f>'Demand Projections RA'!K8</f>
        <v>2.0772327457722284E-2</v>
      </c>
      <c r="S9"/>
    </row>
    <row r="10" spans="1:19" ht="13.9">
      <c r="A10" s="61">
        <v>7</v>
      </c>
      <c r="B10" s="60" t="s">
        <v>102</v>
      </c>
      <c r="C10" s="158" t="e">
        <f>'Demand Projections Historical'!#REF!</f>
        <v>#REF!</v>
      </c>
      <c r="D10" s="158">
        <f>'Demand Projections Historical'!BI58</f>
        <v>3.5802600437454259</v>
      </c>
      <c r="E10" s="158">
        <f>'Demand Projections Historical'!BJ58</f>
        <v>4.9591404052703156</v>
      </c>
      <c r="F10" s="158">
        <f>'Demand Projections Historical'!BK58</f>
        <v>4.7581209253517445</v>
      </c>
      <c r="H10" s="172">
        <f>'Demand Projections Historical'!BM58</f>
        <v>0.15524730861957359</v>
      </c>
      <c r="I10" s="172">
        <f>'Demand Projections Historical'!BN58</f>
        <v>0.18059627819452936</v>
      </c>
      <c r="K10" s="158">
        <f>'Demand Projections RA'!E9</f>
        <v>5.75</v>
      </c>
      <c r="L10" s="158">
        <f>'Demand Projections RA'!F9</f>
        <v>6</v>
      </c>
      <c r="M10" s="158">
        <f>'Demand Projections RA'!G9</f>
        <v>6.15</v>
      </c>
      <c r="N10" s="158">
        <f>'Demand Projections RA'!H9</f>
        <v>6.3</v>
      </c>
      <c r="O10" s="158">
        <f>'Demand Projections RA'!I9</f>
        <v>6.45</v>
      </c>
      <c r="Q10" s="172">
        <f>'Demand Projections RA'!K9</f>
        <v>2.9136466948363582E-2</v>
      </c>
      <c r="S10"/>
    </row>
    <row r="11" spans="1:19" ht="13.9">
      <c r="A11" s="61">
        <v>8</v>
      </c>
      <c r="B11" s="60" t="s">
        <v>103</v>
      </c>
      <c r="C11" s="158" t="e">
        <f>'Demand Projections Historical'!#REF!</f>
        <v>#REF!</v>
      </c>
      <c r="D11" s="158">
        <f>'Demand Projections Historical'!BI59</f>
        <v>2.5976908170287145</v>
      </c>
      <c r="E11" s="158">
        <f>'Demand Projections Historical'!BJ59</f>
        <v>4.2261638574231251</v>
      </c>
      <c r="F11" s="158">
        <f>'Demand Projections Historical'!BK59</f>
        <v>4.8354931743877367</v>
      </c>
      <c r="H11" s="172">
        <f>'Demand Projections Historical'!BM59</f>
        <v>0.42307484359408853</v>
      </c>
      <c r="I11" s="172">
        <f>'Demand Projections Historical'!BN59</f>
        <v>0.62730954993529853</v>
      </c>
      <c r="K11" s="158">
        <f>'Demand Projections RA'!E10</f>
        <v>7.9</v>
      </c>
      <c r="L11" s="158">
        <f>'Demand Projections RA'!F10</f>
        <v>8.0579999999999998</v>
      </c>
      <c r="M11" s="158">
        <f>'Demand Projections RA'!G10</f>
        <v>8.2189999999999994</v>
      </c>
      <c r="N11" s="158">
        <f>'Demand Projections RA'!H10</f>
        <v>8.3840000000000003</v>
      </c>
      <c r="O11" s="158">
        <f>'Demand Projections RA'!I10</f>
        <v>8.5510000000000002</v>
      </c>
      <c r="Q11" s="172">
        <f>'Demand Projections RA'!K10</f>
        <v>1.9993616481586818E-2</v>
      </c>
      <c r="S11"/>
    </row>
    <row r="12" spans="1:19" ht="13.9">
      <c r="A12" s="61">
        <v>9</v>
      </c>
      <c r="B12" s="156" t="s">
        <v>104</v>
      </c>
      <c r="C12" s="158" t="e">
        <f>'Demand Projections Historical'!#REF!</f>
        <v>#REF!</v>
      </c>
      <c r="D12" s="158">
        <f>'Demand Projections Historical'!BI60</f>
        <v>2.2984357569656573</v>
      </c>
      <c r="E12" s="158">
        <f>'Demand Projections Historical'!BJ60</f>
        <v>3.3330259296032971</v>
      </c>
      <c r="F12" s="158">
        <f>'Demand Projections Historical'!BK60</f>
        <v>5.00902343187059</v>
      </c>
      <c r="H12" s="172">
        <f>'Demand Projections Historical'!BM60</f>
        <v>0.53865102159675216</v>
      </c>
      <c r="I12" s="172">
        <f>'Demand Projections Historical'!BN60</f>
        <v>0.88089156440440075</v>
      </c>
      <c r="K12" s="158">
        <f>'Demand Projections RA'!E11</f>
        <v>16.670000000000002</v>
      </c>
      <c r="L12" s="158">
        <f>'Demand Projections RA'!F11</f>
        <v>20.73</v>
      </c>
      <c r="M12" s="158">
        <f>'Demand Projections RA'!G11</f>
        <v>25.55</v>
      </c>
      <c r="N12" s="158">
        <f>'Demand Projections RA'!H11</f>
        <v>30.85</v>
      </c>
      <c r="O12" s="158">
        <f>'Demand Projections RA'!I11</f>
        <v>33.35</v>
      </c>
      <c r="Q12" s="172">
        <f>'Demand Projections RA'!K11</f>
        <v>0.18929627767363844</v>
      </c>
      <c r="S12"/>
    </row>
    <row r="13" spans="1:19" ht="13.9">
      <c r="A13" s="61">
        <v>10</v>
      </c>
      <c r="B13" s="60" t="s">
        <v>105</v>
      </c>
      <c r="C13" s="158" t="e">
        <f>'Demand Projections Historical'!#REF!</f>
        <v>#REF!</v>
      </c>
      <c r="D13" s="158">
        <f>'Demand Projections Historical'!BI61</f>
        <v>11.063210375000002</v>
      </c>
      <c r="E13" s="158">
        <f>'Demand Projections Historical'!BJ61</f>
        <v>12.504652338592978</v>
      </c>
      <c r="F13" s="158">
        <f>'Demand Projections Historical'!BK61</f>
        <v>13.642857587808855</v>
      </c>
      <c r="H13" s="172">
        <f>'Demand Projections Historical'!BM61</f>
        <v>9.8772998297864234E-2</v>
      </c>
      <c r="I13" s="172">
        <f>'Demand Projections Historical'!BN61</f>
        <v>0.10885031674447988</v>
      </c>
      <c r="K13" s="158">
        <f>'Demand Projections RA'!E12</f>
        <v>17.28</v>
      </c>
      <c r="L13" s="158">
        <f>'Demand Projections RA'!F12</f>
        <v>18.662400000000002</v>
      </c>
      <c r="M13" s="158">
        <f>'Demand Projections RA'!G12</f>
        <v>20.155392000000003</v>
      </c>
      <c r="N13" s="158">
        <f>'Demand Projections RA'!H12</f>
        <v>21.767823360000005</v>
      </c>
      <c r="O13" s="158">
        <f>'Demand Projections RA'!I12</f>
        <v>23.509249228800005</v>
      </c>
      <c r="Q13" s="172">
        <f>'Demand Projections RA'!K12</f>
        <v>8.0000000000000071E-2</v>
      </c>
      <c r="S13"/>
    </row>
    <row r="14" spans="1:19" ht="13.9">
      <c r="A14" s="61">
        <v>11</v>
      </c>
      <c r="B14" s="156" t="s">
        <v>106</v>
      </c>
      <c r="C14" s="158" t="e">
        <f>'Demand Projections Historical'!#REF!</f>
        <v>#REF!</v>
      </c>
      <c r="D14" s="158">
        <f>'Demand Projections Historical'!BI62</f>
        <v>5.8168961458333328</v>
      </c>
      <c r="E14" s="158">
        <f>'Demand Projections Historical'!BJ62</f>
        <v>6.8753755588047403</v>
      </c>
      <c r="F14" s="158">
        <f>'Demand Projections Historical'!BK62</f>
        <v>7.8086218578848205</v>
      </c>
      <c r="H14" s="172">
        <f>'Demand Projections Historical'!BM62</f>
        <v>0.10313253620693086</v>
      </c>
      <c r="I14" s="172">
        <f>'Demand Projections Historical'!BN62</f>
        <v>0.17120175967712345</v>
      </c>
      <c r="K14" s="158">
        <f>'Demand Projections RA'!E13</f>
        <v>5</v>
      </c>
      <c r="L14" s="158">
        <f>'Demand Projections RA'!F13</f>
        <v>5</v>
      </c>
      <c r="M14" s="158">
        <f>'Demand Projections RA'!G13</f>
        <v>5</v>
      </c>
      <c r="N14" s="158">
        <f>'Demand Projections RA'!H13</f>
        <v>5</v>
      </c>
      <c r="O14" s="158">
        <f>'Demand Projections RA'!I13</f>
        <v>5</v>
      </c>
      <c r="Q14" s="172">
        <f>'Demand Projections RA'!K13</f>
        <v>0</v>
      </c>
      <c r="S14"/>
    </row>
    <row r="15" spans="1:19" ht="13.9">
      <c r="A15" s="61">
        <v>12</v>
      </c>
      <c r="B15" s="156" t="s">
        <v>107</v>
      </c>
      <c r="C15" s="158" t="e">
        <f>'Demand Projections Historical'!#REF!</f>
        <v>#REF!</v>
      </c>
      <c r="D15" s="158">
        <f>'Demand Projections Historical'!BI63</f>
        <v>2.4358333333333335</v>
      </c>
      <c r="E15" s="158">
        <f>'Demand Projections Historical'!BJ63</f>
        <v>4.6153764922955736</v>
      </c>
      <c r="F15" s="158">
        <f>'Demand Projections Historical'!BK63</f>
        <v>5.5719009025949369</v>
      </c>
      <c r="H15" s="172">
        <f>'Demand Projections Historical'!BM63</f>
        <v>0.31760511312833106</v>
      </c>
      <c r="I15" s="172">
        <f>'Demand Projections Historical'!BN63</f>
        <v>0.64373607306088332</v>
      </c>
      <c r="K15" s="158">
        <f>'Demand Projections RA'!E14</f>
        <v>3</v>
      </c>
      <c r="L15" s="158">
        <f>'Demand Projections RA'!F14</f>
        <v>3</v>
      </c>
      <c r="M15" s="158">
        <f>'Demand Projections RA'!G14</f>
        <v>3</v>
      </c>
      <c r="N15" s="158">
        <f>'Demand Projections RA'!H14</f>
        <v>3</v>
      </c>
      <c r="O15" s="158">
        <f>'Demand Projections RA'!I14</f>
        <v>3</v>
      </c>
      <c r="Q15" s="172">
        <f>'Demand Projections RA'!K14</f>
        <v>0</v>
      </c>
      <c r="S15"/>
    </row>
    <row r="16" spans="1:19" ht="13.9">
      <c r="A16" s="61">
        <v>13</v>
      </c>
      <c r="B16" s="156" t="s">
        <v>108</v>
      </c>
      <c r="C16" s="158" t="e">
        <f>'Demand Projections Historical'!#REF!</f>
        <v>#REF!</v>
      </c>
      <c r="D16" s="158" t="str">
        <f>'Demand Projections Historical'!BI64</f>
        <v>NA</v>
      </c>
      <c r="E16" s="158">
        <f>'Demand Projections Historical'!BJ64</f>
        <v>0.90694810225534095</v>
      </c>
      <c r="F16" s="158">
        <f>'Demand Projections Historical'!BK64</f>
        <v>1.1110843832780235</v>
      </c>
      <c r="H16" s="172">
        <f>'Demand Projections Historical'!BM64</f>
        <v>0.22508044342895639</v>
      </c>
      <c r="I16" s="172">
        <f>'Demand Projections Historical'!BN64</f>
        <v>0.22508044342895631</v>
      </c>
      <c r="K16" s="158">
        <f>'Demand Projections RA'!E15</f>
        <v>0.92</v>
      </c>
      <c r="L16" s="158">
        <f>'Demand Projections RA'!F15</f>
        <v>1.03</v>
      </c>
      <c r="M16" s="158">
        <f>'Demand Projections RA'!G15</f>
        <v>1.1499999999999999</v>
      </c>
      <c r="N16" s="158">
        <f>'Demand Projections RA'!H15</f>
        <v>1.29</v>
      </c>
      <c r="O16" s="158">
        <f>'Demand Projections RA'!I15</f>
        <v>1.44</v>
      </c>
      <c r="Q16" s="172">
        <f>'Demand Projections RA'!K15</f>
        <v>0.11851977378249723</v>
      </c>
      <c r="S16"/>
    </row>
    <row r="17" spans="1:19" ht="13.9">
      <c r="A17" s="61">
        <v>14</v>
      </c>
      <c r="B17" s="156" t="s">
        <v>109</v>
      </c>
      <c r="C17" s="158" t="e">
        <f>'Demand Projections Historical'!#REF!</f>
        <v>#REF!</v>
      </c>
      <c r="D17" s="158">
        <f>'Demand Projections Historical'!BI65</f>
        <v>0.57301027691666662</v>
      </c>
      <c r="E17" s="158">
        <f>'Demand Projections Historical'!BJ65</f>
        <v>0.60253953577242603</v>
      </c>
      <c r="F17" s="158">
        <f>'Demand Projections Historical'!BK65</f>
        <v>0.61456767949111812</v>
      </c>
      <c r="H17" s="172">
        <f>'Demand Projections Historical'!BM65</f>
        <v>3.5627687555836784E-2</v>
      </c>
      <c r="I17" s="172">
        <f>'Demand Projections Historical'!BN65</f>
        <v>3.6262353616124794E-2</v>
      </c>
      <c r="K17" s="158">
        <f>'Demand Projections RA'!E16</f>
        <v>0.78</v>
      </c>
      <c r="L17" s="158">
        <f>'Demand Projections RA'!F16</f>
        <v>0.82</v>
      </c>
      <c r="M17" s="158">
        <f>'Demand Projections RA'!G16</f>
        <v>0.86</v>
      </c>
      <c r="N17" s="158">
        <f>'Demand Projections RA'!H16</f>
        <v>0.9</v>
      </c>
      <c r="O17" s="158">
        <f>'Demand Projections RA'!I16</f>
        <v>0.95</v>
      </c>
      <c r="Q17" s="172">
        <f>'Demand Projections RA'!K16</f>
        <v>5.0527076907473711E-2</v>
      </c>
      <c r="S17"/>
    </row>
    <row r="18" spans="1:19" ht="13.9">
      <c r="A18" s="61">
        <v>15</v>
      </c>
      <c r="B18" s="60" t="s">
        <v>110</v>
      </c>
      <c r="C18" s="158" t="e">
        <f>'Demand Projections Historical'!#REF!</f>
        <v>#REF!</v>
      </c>
      <c r="D18" s="158">
        <f>'Demand Projections Historical'!BI66</f>
        <v>0</v>
      </c>
      <c r="E18" s="158">
        <f>'Demand Projections Historical'!BJ66</f>
        <v>0</v>
      </c>
      <c r="F18" s="158">
        <f>'Demand Projections Historical'!BK66</f>
        <v>26.929475292783405</v>
      </c>
      <c r="H18" s="172" t="str">
        <f>'Demand Projections Historical'!BM66</f>
        <v>NA</v>
      </c>
      <c r="I18" s="172" t="str">
        <f>'Demand Projections Historical'!BN66</f>
        <v>NA</v>
      </c>
      <c r="K18" s="158">
        <f>'Demand Projections RA'!E17</f>
        <v>35.294038629445453</v>
      </c>
      <c r="L18" s="158">
        <f>'Demand Projections RA'!F17</f>
        <v>36.958458849323776</v>
      </c>
      <c r="M18" s="158">
        <f>'Demand Projections RA'!G17</f>
        <v>38.60240409453651</v>
      </c>
      <c r="N18" s="158">
        <f>'Demand Projections RA'!H17</f>
        <v>40.226249866822684</v>
      </c>
      <c r="O18" s="158">
        <f>'Demand Projections RA'!I17</f>
        <v>41.830362541669871</v>
      </c>
      <c r="Q18" s="172">
        <f>'Demand Projections RA'!K17</f>
        <v>4.3392157233090867E-2</v>
      </c>
      <c r="S18"/>
    </row>
    <row r="19" spans="1:19" ht="13.9">
      <c r="A19" s="61">
        <v>16</v>
      </c>
      <c r="B19" s="156" t="s">
        <v>111</v>
      </c>
      <c r="C19" s="158" t="e">
        <f>'Demand Projections Historical'!#REF!</f>
        <v>#REF!</v>
      </c>
      <c r="D19" s="158">
        <f>'Demand Projections Historical'!BI67</f>
        <v>0</v>
      </c>
      <c r="E19" s="158">
        <f>'Demand Projections Historical'!BJ67</f>
        <v>0</v>
      </c>
      <c r="F19" s="158">
        <f>'Demand Projections Historical'!BK67</f>
        <v>0</v>
      </c>
      <c r="H19" s="172" t="str">
        <f>'Demand Projections Historical'!BM67</f>
        <v>NA</v>
      </c>
      <c r="I19" s="172" t="str">
        <f>'Demand Projections Historical'!BN67</f>
        <v>NA</v>
      </c>
      <c r="K19" s="158">
        <f>'Demand Projections RA'!E18</f>
        <v>6</v>
      </c>
      <c r="L19" s="158">
        <f>'Demand Projections RA'!F18</f>
        <v>6</v>
      </c>
      <c r="M19" s="158">
        <f>'Demand Projections RA'!G18</f>
        <v>6</v>
      </c>
      <c r="N19" s="158">
        <f>'Demand Projections RA'!H18</f>
        <v>7</v>
      </c>
      <c r="O19" s="158">
        <f>'Demand Projections RA'!I18</f>
        <v>7</v>
      </c>
      <c r="Q19" s="172">
        <f>'Demand Projections RA'!K18</f>
        <v>3.9289877625411807E-2</v>
      </c>
      <c r="S19"/>
    </row>
    <row r="20" spans="1:19" ht="13.9">
      <c r="A20" s="61">
        <v>17</v>
      </c>
      <c r="B20" s="156" t="s">
        <v>112</v>
      </c>
      <c r="C20" s="158" t="e">
        <f>'Demand Projections Historical'!#REF!</f>
        <v>#REF!</v>
      </c>
      <c r="D20" s="158">
        <f>'Demand Projections Historical'!BI68</f>
        <v>0</v>
      </c>
      <c r="E20" s="158">
        <f>'Demand Projections Historical'!BJ68</f>
        <v>0</v>
      </c>
      <c r="F20" s="158">
        <f>'Demand Projections Historical'!BK68</f>
        <v>0</v>
      </c>
      <c r="H20" s="172" t="str">
        <f>'Demand Projections Historical'!BM68</f>
        <v>NA</v>
      </c>
      <c r="I20" s="172" t="str">
        <f>'Demand Projections Historical'!BN68</f>
        <v>NA</v>
      </c>
      <c r="K20" s="158">
        <f>'Demand Projections RA'!E19</f>
        <v>6</v>
      </c>
      <c r="L20" s="158">
        <f>'Demand Projections RA'!F19</f>
        <v>7</v>
      </c>
      <c r="M20" s="158">
        <f>'Demand Projections RA'!G19</f>
        <v>7</v>
      </c>
      <c r="N20" s="158">
        <f>'Demand Projections RA'!H19</f>
        <v>7</v>
      </c>
      <c r="O20" s="158">
        <f>'Demand Projections RA'!I19</f>
        <v>7</v>
      </c>
      <c r="Q20" s="172">
        <f>'Demand Projections RA'!K19</f>
        <v>3.9289877625411807E-2</v>
      </c>
      <c r="S20"/>
    </row>
    <row r="21" spans="1:19" ht="13.9">
      <c r="A21" s="61">
        <v>18</v>
      </c>
      <c r="B21" s="60" t="s">
        <v>291</v>
      </c>
      <c r="C21" s="158" t="e">
        <f>'Demand Projections Historical'!#REF!</f>
        <v>#REF!</v>
      </c>
      <c r="D21" s="158">
        <f>'Demand Projections Historical'!BI69</f>
        <v>0</v>
      </c>
      <c r="E21" s="158">
        <f>'Demand Projections Historical'!BJ69</f>
        <v>0</v>
      </c>
      <c r="F21" s="158">
        <f>'Demand Projections Historical'!BK69</f>
        <v>0</v>
      </c>
      <c r="H21" s="172" t="str">
        <f>'Demand Projections Historical'!BM69</f>
        <v>NA</v>
      </c>
      <c r="I21" s="172" t="str">
        <f>'Demand Projections Historical'!BN69</f>
        <v>NA</v>
      </c>
      <c r="K21" s="158">
        <f>'Demand Projections RA'!E20</f>
        <v>40</v>
      </c>
      <c r="L21" s="158">
        <f>'Demand Projections RA'!F20</f>
        <v>40</v>
      </c>
      <c r="M21" s="158">
        <f>'Demand Projections RA'!G20</f>
        <v>40</v>
      </c>
      <c r="N21" s="158">
        <f>'Demand Projections RA'!H20</f>
        <v>40</v>
      </c>
      <c r="O21" s="158">
        <f>'Demand Projections RA'!I20</f>
        <v>40</v>
      </c>
      <c r="Q21" s="172">
        <f>'Demand Projections RA'!K20</f>
        <v>0</v>
      </c>
      <c r="S21"/>
    </row>
    <row r="22" spans="1:19" ht="13.9">
      <c r="A22" s="61"/>
      <c r="B22" s="159" t="s">
        <v>191</v>
      </c>
      <c r="C22" s="158" t="e">
        <f>'Demand Projections Historical'!#REF!</f>
        <v>#REF!</v>
      </c>
      <c r="D22" s="158">
        <f>'Demand Projections Historical'!BI70</f>
        <v>23417.90466337838</v>
      </c>
      <c r="E22" s="158">
        <f>'Demand Projections Historical'!BJ70</f>
        <v>25297.636919956509</v>
      </c>
      <c r="F22" s="158">
        <f>'Demand Projections Historical'!BK70</f>
        <v>27174.167602569232</v>
      </c>
      <c r="H22" s="172">
        <f>'Demand Projections Historical'!BM70</f>
        <v>9.9418087035174851E-2</v>
      </c>
      <c r="I22" s="172">
        <f>'Demand Projections Historical'!BN70</f>
        <v>0.10962959106518054</v>
      </c>
      <c r="K22" s="158">
        <f>'Demand Projections RA'!E21</f>
        <v>32792.904038629444</v>
      </c>
      <c r="L22" s="158">
        <f>'Demand Projections RA'!F21</f>
        <v>35908.417858849323</v>
      </c>
      <c r="M22" s="158">
        <f>'Demand Projections RA'!G21</f>
        <v>39263.967986094533</v>
      </c>
      <c r="N22" s="158">
        <f>'Demand Projections RA'!H21</f>
        <v>40369.194073226827</v>
      </c>
      <c r="O22" s="158">
        <f>'Demand Projections RA'!I21</f>
        <v>41710.448701770467</v>
      </c>
      <c r="Q22" s="172">
        <f>'Demand Projections RA'!K21</f>
        <v>0</v>
      </c>
      <c r="S22"/>
    </row>
  </sheetData>
  <mergeCells count="3">
    <mergeCell ref="A1:N1"/>
    <mergeCell ref="C2:F2"/>
    <mergeCell ref="K2:O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86"/>
  <sheetViews>
    <sheetView showGridLines="0" zoomScale="52" zoomScaleNormal="75" zoomScaleSheetLayoutView="56" workbookViewId="0"/>
  </sheetViews>
  <sheetFormatPr defaultColWidth="9.140625" defaultRowHeight="13.9"/>
  <cols>
    <col min="1" max="1" width="4.5703125" style="1" customWidth="1"/>
    <col min="2" max="2" width="10.7109375" style="49" customWidth="1"/>
    <col min="3" max="3" width="55.42578125" style="1" bestFit="1" customWidth="1"/>
    <col min="4" max="15" width="16.140625" style="205" customWidth="1"/>
    <col min="16" max="16" width="14" style="205" bestFit="1" customWidth="1"/>
    <col min="17" max="16384" width="9.140625" style="1"/>
  </cols>
  <sheetData>
    <row r="1" spans="2:16">
      <c r="B1" s="48"/>
    </row>
    <row r="2" spans="2:16" ht="15.6">
      <c r="B2" s="409" t="s">
        <v>19</v>
      </c>
      <c r="C2" s="409"/>
      <c r="D2" s="409"/>
      <c r="E2" s="409"/>
      <c r="F2" s="409"/>
      <c r="G2" s="409"/>
      <c r="H2" s="409"/>
      <c r="I2" s="409"/>
      <c r="J2" s="409"/>
      <c r="K2" s="409"/>
      <c r="L2" s="409"/>
      <c r="M2" s="409"/>
      <c r="N2" s="409"/>
      <c r="O2" s="409"/>
    </row>
    <row r="3" spans="2:16" ht="15.6">
      <c r="B3" s="410" t="s">
        <v>1</v>
      </c>
      <c r="C3" s="410"/>
      <c r="D3" s="410"/>
      <c r="E3" s="410"/>
      <c r="F3" s="410"/>
      <c r="G3" s="410"/>
      <c r="H3" s="410"/>
      <c r="I3" s="410"/>
      <c r="J3" s="410"/>
      <c r="K3" s="410"/>
      <c r="L3" s="410"/>
      <c r="M3" s="410"/>
      <c r="N3" s="410"/>
      <c r="O3" s="410"/>
    </row>
    <row r="4" spans="2:16" ht="15.6">
      <c r="B4" s="409" t="s">
        <v>78</v>
      </c>
      <c r="C4" s="409"/>
      <c r="D4" s="409"/>
      <c r="E4" s="409"/>
      <c r="F4" s="409"/>
      <c r="G4" s="409"/>
      <c r="H4" s="409"/>
      <c r="I4" s="409"/>
      <c r="J4" s="409"/>
      <c r="K4" s="409"/>
      <c r="L4" s="409"/>
      <c r="M4" s="409"/>
      <c r="N4" s="409"/>
      <c r="O4" s="409"/>
    </row>
    <row r="5" spans="2:16">
      <c r="B5" s="48"/>
      <c r="C5" s="48"/>
      <c r="D5" s="206"/>
      <c r="E5" s="206"/>
      <c r="F5" s="206"/>
      <c r="G5" s="206"/>
      <c r="H5" s="206"/>
      <c r="I5" s="207"/>
      <c r="J5" s="207"/>
      <c r="K5" s="207"/>
      <c r="L5" s="207"/>
      <c r="M5" s="207"/>
      <c r="N5" s="207"/>
    </row>
    <row r="6" spans="2:16">
      <c r="B6" s="8" t="s">
        <v>79</v>
      </c>
      <c r="C6" s="7"/>
      <c r="G6" s="208"/>
      <c r="I6" s="207"/>
      <c r="L6" s="207"/>
    </row>
    <row r="7" spans="2:16">
      <c r="B7" s="1"/>
      <c r="C7" s="7"/>
      <c r="G7" s="208"/>
      <c r="I7" s="207"/>
      <c r="L7" s="207"/>
    </row>
    <row r="8" spans="2:16">
      <c r="B8" s="8" t="s">
        <v>80</v>
      </c>
      <c r="C8" s="7"/>
      <c r="G8" s="208"/>
      <c r="I8" s="207"/>
      <c r="L8" s="207"/>
    </row>
    <row r="9" spans="2:16">
      <c r="B9" s="1"/>
      <c r="C9" s="7"/>
      <c r="G9" s="208"/>
      <c r="I9" s="207"/>
      <c r="L9" s="207"/>
      <c r="P9" s="208" t="s">
        <v>81</v>
      </c>
    </row>
    <row r="10" spans="2:16">
      <c r="B10" s="66" t="s">
        <v>2</v>
      </c>
      <c r="C10" s="66" t="s">
        <v>82</v>
      </c>
      <c r="D10" s="209" t="s">
        <v>83</v>
      </c>
      <c r="E10" s="209" t="s">
        <v>84</v>
      </c>
      <c r="F10" s="209" t="s">
        <v>85</v>
      </c>
      <c r="G10" s="209" t="s">
        <v>86</v>
      </c>
      <c r="H10" s="209" t="s">
        <v>87</v>
      </c>
      <c r="I10" s="209" t="s">
        <v>88</v>
      </c>
      <c r="J10" s="209" t="s">
        <v>89</v>
      </c>
      <c r="K10" s="209" t="s">
        <v>90</v>
      </c>
      <c r="L10" s="209" t="s">
        <v>91</v>
      </c>
      <c r="M10" s="209" t="s">
        <v>92</v>
      </c>
      <c r="N10" s="209" t="s">
        <v>93</v>
      </c>
      <c r="O10" s="209" t="s">
        <v>94</v>
      </c>
      <c r="P10" s="209" t="s">
        <v>95</v>
      </c>
    </row>
    <row r="11" spans="2:16" s="9" customFormat="1">
      <c r="B11" s="68">
        <v>1</v>
      </c>
      <c r="C11" s="78" t="s">
        <v>96</v>
      </c>
      <c r="D11" s="84">
        <v>23777.580184858241</v>
      </c>
      <c r="E11" s="84">
        <v>23114.838614682703</v>
      </c>
      <c r="F11" s="84">
        <v>23619.035990888384</v>
      </c>
      <c r="G11" s="84">
        <v>20118.764489458452</v>
      </c>
      <c r="H11" s="84">
        <v>22602.359661087001</v>
      </c>
      <c r="I11" s="84">
        <v>22816.750661703885</v>
      </c>
      <c r="J11" s="84">
        <v>23750.009743961851</v>
      </c>
      <c r="K11" s="84">
        <v>23744.482949499121</v>
      </c>
      <c r="L11" s="84">
        <v>23213.338223779105</v>
      </c>
      <c r="M11" s="84">
        <v>23925.065047344586</v>
      </c>
      <c r="N11" s="84">
        <v>24117.371051274113</v>
      </c>
      <c r="O11" s="84">
        <v>23955.496518235355</v>
      </c>
      <c r="P11" s="84">
        <f>AVERAGE(D11:O11)</f>
        <v>23229.591094731066</v>
      </c>
    </row>
    <row r="12" spans="2:16" s="9" customFormat="1">
      <c r="B12" s="68">
        <v>2</v>
      </c>
      <c r="C12" s="78" t="s">
        <v>97</v>
      </c>
      <c r="D12" s="84">
        <v>1001.058344584069</v>
      </c>
      <c r="E12" s="84">
        <v>980.55217751970144</v>
      </c>
      <c r="F12" s="84">
        <v>958.56164837440463</v>
      </c>
      <c r="G12" s="84">
        <v>856.30463001240173</v>
      </c>
      <c r="H12" s="84">
        <v>795.26943583384991</v>
      </c>
      <c r="I12" s="84">
        <v>843.86881720430119</v>
      </c>
      <c r="J12" s="84">
        <v>925.45906499429873</v>
      </c>
      <c r="K12" s="84">
        <v>847.58632655168856</v>
      </c>
      <c r="L12" s="84">
        <v>772.80506902946627</v>
      </c>
      <c r="M12" s="84">
        <v>732.11082750102923</v>
      </c>
      <c r="N12" s="84">
        <v>800.67607551841536</v>
      </c>
      <c r="O12" s="84">
        <v>891.5068085546028</v>
      </c>
      <c r="P12" s="84">
        <f t="shared" ref="P12:P25" si="0">AVERAGE(D12:O12)</f>
        <v>867.14660213985235</v>
      </c>
    </row>
    <row r="13" spans="2:16" s="9" customFormat="1">
      <c r="B13" s="68">
        <v>3</v>
      </c>
      <c r="C13" s="78" t="s">
        <v>98</v>
      </c>
      <c r="D13" s="84">
        <v>1750.7948073527884</v>
      </c>
      <c r="E13" s="84">
        <v>1681.2703027789298</v>
      </c>
      <c r="F13" s="84">
        <v>1743.5421412300684</v>
      </c>
      <c r="G13" s="84">
        <v>1518.8953699875983</v>
      </c>
      <c r="H13" s="84">
        <v>1524.7526348419096</v>
      </c>
      <c r="I13" s="84">
        <v>1651.6774607113318</v>
      </c>
      <c r="J13" s="84">
        <v>1648.781755986317</v>
      </c>
      <c r="K13" s="84">
        <v>1537.3907260146648</v>
      </c>
      <c r="L13" s="84">
        <v>1327.3545847929115</v>
      </c>
      <c r="M13" s="84">
        <v>1264.6793330588719</v>
      </c>
      <c r="N13" s="84">
        <v>1392.7653770762406</v>
      </c>
      <c r="O13" s="84">
        <v>1621.1043702861866</v>
      </c>
      <c r="P13" s="84">
        <f t="shared" si="0"/>
        <v>1555.2507386764846</v>
      </c>
    </row>
    <row r="14" spans="2:16" s="9" customFormat="1">
      <c r="B14" s="68">
        <v>4</v>
      </c>
      <c r="C14" s="78" t="s">
        <v>99</v>
      </c>
      <c r="D14" s="84">
        <v>866.34757503375226</v>
      </c>
      <c r="E14" s="84">
        <v>873.04292824554113</v>
      </c>
      <c r="F14" s="84">
        <v>912.36082004555817</v>
      </c>
      <c r="G14" s="84">
        <v>742.88528317486555</v>
      </c>
      <c r="H14" s="84">
        <v>754.84868774540189</v>
      </c>
      <c r="I14" s="84">
        <v>812.62845326716297</v>
      </c>
      <c r="J14" s="84">
        <v>832.73374105939672</v>
      </c>
      <c r="K14" s="84">
        <v>785.78779303934732</v>
      </c>
      <c r="L14" s="84">
        <v>650.97902328456621</v>
      </c>
      <c r="M14" s="84">
        <v>614.20317002881848</v>
      </c>
      <c r="N14" s="84">
        <v>675.59067368203864</v>
      </c>
      <c r="O14" s="84">
        <v>800.68672383510693</v>
      </c>
      <c r="P14" s="84">
        <f t="shared" si="0"/>
        <v>776.84123937012953</v>
      </c>
    </row>
    <row r="15" spans="2:16" s="9" customFormat="1">
      <c r="B15" s="68">
        <v>5</v>
      </c>
      <c r="C15" s="78" t="s">
        <v>100</v>
      </c>
      <c r="D15" s="84">
        <v>444.51265967390174</v>
      </c>
      <c r="E15" s="84">
        <v>432.61401907922021</v>
      </c>
      <c r="F15" s="84">
        <v>415.3208945951543</v>
      </c>
      <c r="G15" s="84">
        <v>404.30541546093423</v>
      </c>
      <c r="H15" s="84">
        <v>435.70766687332093</v>
      </c>
      <c r="I15" s="84">
        <v>434.40661703887508</v>
      </c>
      <c r="J15" s="84">
        <v>450.5517570229087</v>
      </c>
      <c r="K15" s="84">
        <v>471.92027264277596</v>
      </c>
      <c r="L15" s="84">
        <v>450.40605810838656</v>
      </c>
      <c r="M15" s="84">
        <v>445.84116920543431</v>
      </c>
      <c r="N15" s="84">
        <v>440.92772103579898</v>
      </c>
      <c r="O15" s="84">
        <v>482.96890174604818</v>
      </c>
      <c r="P15" s="84">
        <f t="shared" si="0"/>
        <v>442.45692937356324</v>
      </c>
    </row>
    <row r="16" spans="2:16" s="9" customFormat="1">
      <c r="B16" s="68">
        <v>6</v>
      </c>
      <c r="C16" s="78" t="s">
        <v>101</v>
      </c>
      <c r="D16" s="84">
        <v>10.719160868210613</v>
      </c>
      <c r="E16" s="84">
        <v>10.411986727498963</v>
      </c>
      <c r="F16" s="84">
        <v>10.390515634706977</v>
      </c>
      <c r="G16" s="84">
        <v>8.4403472509301363</v>
      </c>
      <c r="H16" s="84">
        <v>8.9854102087208112</v>
      </c>
      <c r="I16" s="84">
        <v>8.6763440860215049</v>
      </c>
      <c r="J16" s="84">
        <v>9.735917901938425</v>
      </c>
      <c r="K16" s="84">
        <v>9.1251884746462864</v>
      </c>
      <c r="L16" s="84">
        <v>7.7656707191427978</v>
      </c>
      <c r="M16" s="84">
        <v>7.2119390695759567</v>
      </c>
      <c r="N16" s="84">
        <v>7.5176312803053742</v>
      </c>
      <c r="O16" s="84">
        <v>8.9514206013017876</v>
      </c>
      <c r="P16" s="84">
        <f t="shared" si="0"/>
        <v>8.9942944019166386</v>
      </c>
    </row>
    <row r="17" spans="2:17" s="9" customFormat="1">
      <c r="B17" s="68">
        <v>7</v>
      </c>
      <c r="C17" s="78" t="s">
        <v>102</v>
      </c>
      <c r="D17" s="84">
        <v>4.9343026274794894</v>
      </c>
      <c r="E17" s="84">
        <v>4.9936955620074661</v>
      </c>
      <c r="F17" s="84">
        <v>5.1760612963346446</v>
      </c>
      <c r="G17" s="84">
        <v>4.5438197602315009</v>
      </c>
      <c r="H17" s="84">
        <v>4.3603223806571609</v>
      </c>
      <c r="I17" s="84">
        <v>4.5067411083540119</v>
      </c>
      <c r="J17" s="84">
        <v>4.3468021146470406</v>
      </c>
      <c r="K17" s="84">
        <v>4.410368687390271</v>
      </c>
      <c r="L17" s="84">
        <v>3.5219039769214917</v>
      </c>
      <c r="M17" s="84">
        <v>3.7428571428571424</v>
      </c>
      <c r="N17" s="84">
        <v>4.0044568245125349</v>
      </c>
      <c r="O17" s="84">
        <v>4.356276474842443</v>
      </c>
      <c r="P17" s="84">
        <f t="shared" si="0"/>
        <v>4.4081339963529338</v>
      </c>
    </row>
    <row r="18" spans="2:17" s="9" customFormat="1">
      <c r="B18" s="68">
        <v>8</v>
      </c>
      <c r="C18" s="78" t="s">
        <v>103</v>
      </c>
      <c r="D18" s="84">
        <v>5.1904455291307512</v>
      </c>
      <c r="E18" s="84">
        <v>5.1379095810866859</v>
      </c>
      <c r="F18" s="84">
        <v>5.2684199627252015</v>
      </c>
      <c r="G18" s="84">
        <v>4.5233154195948737</v>
      </c>
      <c r="H18" s="84">
        <v>4.2647241165530065</v>
      </c>
      <c r="I18" s="84">
        <v>4.8257237386269649</v>
      </c>
      <c r="J18" s="84">
        <v>4.6524308075049241</v>
      </c>
      <c r="K18" s="84">
        <v>4.1900237529691209</v>
      </c>
      <c r="L18" s="84">
        <v>3.4294663094992788</v>
      </c>
      <c r="M18" s="84">
        <v>3.8088513791683822</v>
      </c>
      <c r="N18" s="84">
        <v>4.132714329928814</v>
      </c>
      <c r="O18" s="84">
        <v>4.4823638805661741</v>
      </c>
      <c r="P18" s="84">
        <f t="shared" si="0"/>
        <v>4.4921990672795147</v>
      </c>
    </row>
    <row r="19" spans="2:17" s="9" customFormat="1">
      <c r="B19" s="68">
        <v>9</v>
      </c>
      <c r="C19" s="78" t="s">
        <v>104</v>
      </c>
      <c r="D19" s="84">
        <v>4.1412400041541177</v>
      </c>
      <c r="E19" s="84">
        <v>4.335130651182082</v>
      </c>
      <c r="F19" s="84">
        <v>4.0179333195278524</v>
      </c>
      <c r="G19" s="84">
        <v>3.9682513435303846</v>
      </c>
      <c r="H19" s="84">
        <v>4.8410828683612319</v>
      </c>
      <c r="I19" s="84">
        <v>4.831306865177833</v>
      </c>
      <c r="J19" s="84">
        <v>5.3114543381362083</v>
      </c>
      <c r="K19" s="84">
        <v>5.0414954043168443</v>
      </c>
      <c r="L19" s="84">
        <v>5.0826705130846896</v>
      </c>
      <c r="M19" s="84">
        <v>5.1162618361465624</v>
      </c>
      <c r="N19" s="84">
        <v>5.1221293717115444</v>
      </c>
      <c r="O19" s="84">
        <v>5.7831180907118505</v>
      </c>
      <c r="P19" s="84">
        <f t="shared" si="0"/>
        <v>4.7993395505034337</v>
      </c>
    </row>
    <row r="20" spans="2:17" s="9" customFormat="1">
      <c r="B20" s="68">
        <v>10</v>
      </c>
      <c r="C20" s="78" t="s">
        <v>105</v>
      </c>
      <c r="D20" s="84">
        <v>13.87143005504206</v>
      </c>
      <c r="E20" s="84">
        <v>12.992948983824139</v>
      </c>
      <c r="F20" s="84">
        <v>16.192172292400084</v>
      </c>
      <c r="G20" s="84">
        <v>14.049607275733774</v>
      </c>
      <c r="H20" s="84">
        <v>12.7042777433354</v>
      </c>
      <c r="I20" s="84">
        <v>13.588089330024815</v>
      </c>
      <c r="J20" s="84">
        <v>13.269202860993055</v>
      </c>
      <c r="K20" s="84">
        <v>10.896622947433645</v>
      </c>
      <c r="L20" s="84">
        <v>9.4877395425509992</v>
      </c>
      <c r="M20" s="84">
        <v>9.3215314944421586</v>
      </c>
      <c r="N20" s="84">
        <v>9.892499742081915</v>
      </c>
      <c r="O20" s="84">
        <v>13.514619278851121</v>
      </c>
      <c r="P20" s="84">
        <f t="shared" si="0"/>
        <v>12.481728462226094</v>
      </c>
    </row>
    <row r="21" spans="2:17" s="9" customFormat="1">
      <c r="B21" s="68">
        <v>11</v>
      </c>
      <c r="C21" s="78" t="s">
        <v>106</v>
      </c>
      <c r="D21" s="84">
        <v>6.8004154117769238</v>
      </c>
      <c r="E21" s="84">
        <v>7.0116963915387807</v>
      </c>
      <c r="F21" s="84">
        <v>6.7377510871816115</v>
      </c>
      <c r="G21" s="84">
        <v>5.1340223232740794</v>
      </c>
      <c r="H21" s="84">
        <v>7.0648894399669349</v>
      </c>
      <c r="I21" s="84">
        <v>7.6514888337468987</v>
      </c>
      <c r="J21" s="84">
        <v>7.6500466466258938</v>
      </c>
      <c r="K21" s="84">
        <v>7.2332954662811106</v>
      </c>
      <c r="L21" s="84">
        <v>5.3083453533896563</v>
      </c>
      <c r="M21" s="84">
        <v>5.8857142857142861</v>
      </c>
      <c r="N21" s="84">
        <v>6.5835964097802533</v>
      </c>
      <c r="O21" s="84">
        <v>8.5407170162206842</v>
      </c>
      <c r="P21" s="84">
        <f t="shared" si="0"/>
        <v>6.8001648887914259</v>
      </c>
    </row>
    <row r="22" spans="2:17" s="9" customFormat="1">
      <c r="B22" s="68">
        <v>12</v>
      </c>
      <c r="C22" s="78" t="s">
        <v>107</v>
      </c>
      <c r="D22" s="84">
        <v>6.4599439194101151</v>
      </c>
      <c r="E22" s="84">
        <v>6.5409788469514716</v>
      </c>
      <c r="F22" s="84">
        <v>6.3260302340028991</v>
      </c>
      <c r="G22" s="84">
        <v>4.638280281107896</v>
      </c>
      <c r="H22" s="84">
        <v>4.4780739822277331</v>
      </c>
      <c r="I22" s="84">
        <v>4.8595533498759309</v>
      </c>
      <c r="J22" s="84">
        <v>0</v>
      </c>
      <c r="K22" s="84">
        <v>4.5214086543426619</v>
      </c>
      <c r="L22" s="84">
        <v>3.0245209148980012</v>
      </c>
      <c r="M22" s="84">
        <v>3.5469328941951419</v>
      </c>
      <c r="N22" s="84">
        <v>4.1576395336841019</v>
      </c>
      <c r="O22" s="84">
        <v>5.1851224300030996</v>
      </c>
      <c r="P22" s="84">
        <f t="shared" si="0"/>
        <v>4.4782070867249208</v>
      </c>
    </row>
    <row r="23" spans="2:17" s="9" customFormat="1">
      <c r="B23" s="68">
        <v>13</v>
      </c>
      <c r="C23" s="78" t="s">
        <v>108</v>
      </c>
      <c r="D23" s="84">
        <v>1.1465365043098974</v>
      </c>
      <c r="E23" s="84">
        <v>1.1945250933222729</v>
      </c>
      <c r="F23" s="84">
        <v>1.1472354524746324</v>
      </c>
      <c r="G23" s="84">
        <v>0.99214551467548573</v>
      </c>
      <c r="H23" s="84">
        <v>1.2605910312047943</v>
      </c>
      <c r="I23" s="84">
        <v>1.3895781637717124</v>
      </c>
      <c r="J23" s="84">
        <v>0.95366435161190011</v>
      </c>
      <c r="K23" s="84">
        <v>0.76009501187648454</v>
      </c>
      <c r="L23" s="84">
        <v>0.76653616319802187</v>
      </c>
      <c r="M23" s="84">
        <v>0.62165500205846025</v>
      </c>
      <c r="N23" s="84">
        <v>0.69328381306097187</v>
      </c>
      <c r="O23" s="84">
        <v>0.89265419981403038</v>
      </c>
      <c r="P23" s="84">
        <f t="shared" si="0"/>
        <v>0.98487502511488889</v>
      </c>
    </row>
    <row r="24" spans="2:17" s="9" customFormat="1">
      <c r="B24" s="68">
        <v>14</v>
      </c>
      <c r="C24" s="78" t="s">
        <v>109</v>
      </c>
      <c r="D24" s="84">
        <v>0.59952227645653755</v>
      </c>
      <c r="E24" s="84">
        <v>0.60929075072583994</v>
      </c>
      <c r="F24" s="84">
        <v>0.74040173949057786</v>
      </c>
      <c r="G24" s="84">
        <v>0.54882182720132278</v>
      </c>
      <c r="H24" s="84">
        <v>0.48861334986567473</v>
      </c>
      <c r="I24" s="84">
        <v>0.47105045492142267</v>
      </c>
      <c r="J24" s="84">
        <v>0.56315953146055764</v>
      </c>
      <c r="K24" s="84">
        <v>0.47258081173190125</v>
      </c>
      <c r="L24" s="84">
        <v>0.41986400164846488</v>
      </c>
      <c r="M24" s="84">
        <v>0.35837793330588719</v>
      </c>
      <c r="N24" s="84">
        <v>0.47040132054059625</v>
      </c>
      <c r="O24" s="84">
        <v>0.66110135344560395</v>
      </c>
      <c r="P24" s="84">
        <f t="shared" si="0"/>
        <v>0.53359877923286558</v>
      </c>
    </row>
    <row r="25" spans="2:17" s="9" customFormat="1">
      <c r="B25" s="68">
        <v>15</v>
      </c>
      <c r="C25" s="78" t="s">
        <v>110</v>
      </c>
      <c r="D25" s="84">
        <v>0</v>
      </c>
      <c r="E25" s="84">
        <v>0</v>
      </c>
      <c r="F25" s="84">
        <v>0</v>
      </c>
      <c r="G25" s="84">
        <v>0</v>
      </c>
      <c r="H25" s="84">
        <v>0</v>
      </c>
      <c r="I25" s="84">
        <v>0</v>
      </c>
      <c r="J25" s="84">
        <v>0</v>
      </c>
      <c r="K25" s="84">
        <v>28.83969844056594</v>
      </c>
      <c r="L25" s="84">
        <v>20.564764063465894</v>
      </c>
      <c r="M25" s="84">
        <v>23.48793742280774</v>
      </c>
      <c r="N25" s="84">
        <v>25.930217682863923</v>
      </c>
      <c r="O25" s="84">
        <v>28.627874780452526</v>
      </c>
      <c r="P25" s="84">
        <f t="shared" si="0"/>
        <v>10.620874365846335</v>
      </c>
    </row>
    <row r="26" spans="2:17" s="9" customFormat="1">
      <c r="B26" s="68">
        <v>16</v>
      </c>
      <c r="C26" s="65" t="s">
        <v>111</v>
      </c>
      <c r="D26" s="84">
        <v>0</v>
      </c>
      <c r="E26" s="84">
        <v>0</v>
      </c>
      <c r="F26" s="84">
        <v>0</v>
      </c>
      <c r="G26" s="84">
        <v>0</v>
      </c>
      <c r="H26" s="84">
        <v>0</v>
      </c>
      <c r="I26" s="84">
        <v>0</v>
      </c>
      <c r="J26" s="84">
        <v>0</v>
      </c>
      <c r="K26" s="84">
        <v>0</v>
      </c>
      <c r="L26" s="84">
        <v>0</v>
      </c>
      <c r="M26" s="84">
        <v>0</v>
      </c>
      <c r="N26" s="84">
        <v>0</v>
      </c>
      <c r="O26" s="84">
        <v>0</v>
      </c>
      <c r="P26" s="84">
        <v>0</v>
      </c>
    </row>
    <row r="27" spans="2:17" s="9" customFormat="1">
      <c r="B27" s="68">
        <v>17</v>
      </c>
      <c r="C27" s="65" t="s">
        <v>112</v>
      </c>
      <c r="D27" s="84"/>
      <c r="E27" s="84"/>
      <c r="F27" s="84"/>
      <c r="G27" s="84"/>
      <c r="H27" s="84"/>
      <c r="I27" s="84"/>
      <c r="J27" s="84"/>
      <c r="K27" s="84"/>
      <c r="L27" s="84"/>
      <c r="M27" s="84"/>
      <c r="N27" s="84"/>
      <c r="O27" s="84"/>
      <c r="P27" s="84"/>
    </row>
    <row r="28" spans="2:17" s="86" customFormat="1">
      <c r="B28" s="85"/>
      <c r="C28" s="79" t="s">
        <v>95</v>
      </c>
      <c r="D28" s="198">
        <f t="shared" ref="D28:P28" si="1">SUM(D11:D27)</f>
        <v>27894.156568698727</v>
      </c>
      <c r="E28" s="198">
        <f t="shared" si="1"/>
        <v>27135.546204894239</v>
      </c>
      <c r="F28" s="198">
        <f t="shared" si="1"/>
        <v>27704.818016152411</v>
      </c>
      <c r="G28" s="198">
        <f t="shared" si="1"/>
        <v>23687.993799090527</v>
      </c>
      <c r="H28" s="198">
        <f t="shared" si="1"/>
        <v>26161.386071502373</v>
      </c>
      <c r="I28" s="198">
        <f t="shared" si="1"/>
        <v>26610.131885856084</v>
      </c>
      <c r="J28" s="198">
        <f t="shared" si="1"/>
        <v>27654.018741577689</v>
      </c>
      <c r="K28" s="198">
        <f t="shared" si="1"/>
        <v>27462.658845399154</v>
      </c>
      <c r="L28" s="198">
        <f t="shared" si="1"/>
        <v>26474.254440552239</v>
      </c>
      <c r="M28" s="198">
        <f t="shared" si="1"/>
        <v>27045.001605599016</v>
      </c>
      <c r="N28" s="198">
        <f t="shared" si="1"/>
        <v>27495.835468895075</v>
      </c>
      <c r="O28" s="198">
        <f t="shared" si="1"/>
        <v>27832.758590763515</v>
      </c>
      <c r="P28" s="198">
        <f t="shared" si="1"/>
        <v>26929.880019915083</v>
      </c>
      <c r="Q28" s="87"/>
    </row>
    <row r="29" spans="2:17" s="9" customFormat="1">
      <c r="D29" s="210"/>
      <c r="E29" s="210"/>
      <c r="F29" s="210"/>
      <c r="G29" s="210"/>
      <c r="H29" s="210"/>
      <c r="I29" s="210"/>
      <c r="J29" s="210"/>
      <c r="K29" s="210"/>
      <c r="L29" s="210"/>
      <c r="M29" s="210"/>
      <c r="N29" s="210"/>
      <c r="O29" s="210"/>
      <c r="P29" s="210"/>
    </row>
    <row r="30" spans="2:17" s="9" customFormat="1">
      <c r="B30" s="8" t="s">
        <v>113</v>
      </c>
      <c r="D30" s="210"/>
      <c r="E30" s="210"/>
      <c r="F30" s="210"/>
      <c r="G30" s="210"/>
      <c r="H30" s="210"/>
      <c r="I30" s="210"/>
      <c r="J30" s="210"/>
      <c r="K30" s="210"/>
      <c r="L30" s="210"/>
      <c r="M30" s="210"/>
      <c r="N30" s="210"/>
      <c r="O30" s="210"/>
      <c r="P30" s="210"/>
    </row>
    <row r="31" spans="2:17" s="9" customFormat="1">
      <c r="D31" s="210"/>
      <c r="E31" s="210"/>
      <c r="F31" s="210"/>
      <c r="G31" s="210"/>
      <c r="H31" s="210"/>
      <c r="I31" s="210"/>
      <c r="J31" s="210"/>
      <c r="K31" s="210"/>
      <c r="L31" s="210"/>
      <c r="M31" s="210"/>
      <c r="N31" s="210"/>
      <c r="O31" s="210"/>
      <c r="P31" s="208" t="s">
        <v>81</v>
      </c>
    </row>
    <row r="32" spans="2:17">
      <c r="B32" s="66" t="s">
        <v>2</v>
      </c>
      <c r="C32" s="69" t="s">
        <v>82</v>
      </c>
      <c r="D32" s="209" t="s">
        <v>83</v>
      </c>
      <c r="E32" s="209" t="s">
        <v>84</v>
      </c>
      <c r="F32" s="209" t="s">
        <v>85</v>
      </c>
      <c r="G32" s="209" t="s">
        <v>86</v>
      </c>
      <c r="H32" s="209" t="s">
        <v>87</v>
      </c>
      <c r="I32" s="209" t="s">
        <v>88</v>
      </c>
      <c r="J32" s="209" t="s">
        <v>89</v>
      </c>
      <c r="K32" s="209" t="s">
        <v>90</v>
      </c>
      <c r="L32" s="209" t="s">
        <v>91</v>
      </c>
      <c r="M32" s="209" t="s">
        <v>92</v>
      </c>
      <c r="N32" s="209" t="s">
        <v>93</v>
      </c>
      <c r="O32" s="209" t="s">
        <v>94</v>
      </c>
      <c r="P32" s="209" t="s">
        <v>95</v>
      </c>
    </row>
    <row r="33" spans="2:16" s="9" customFormat="1">
      <c r="B33" s="68">
        <v>1</v>
      </c>
      <c r="C33" s="78" t="s">
        <v>96</v>
      </c>
      <c r="D33" s="84">
        <v>23777.580184858241</v>
      </c>
      <c r="E33" s="84">
        <v>23123.656076316882</v>
      </c>
      <c r="F33" s="84">
        <v>24368.590267136053</v>
      </c>
      <c r="G33" s="84">
        <v>20120.247540305911</v>
      </c>
      <c r="H33" s="84">
        <v>22853.484232279399</v>
      </c>
      <c r="I33" s="84">
        <v>23269.12758478081</v>
      </c>
      <c r="J33" s="84">
        <v>23833.656722297088</v>
      </c>
      <c r="K33" s="84">
        <v>23848.318868119382</v>
      </c>
      <c r="L33" s="84">
        <v>23228.659798063054</v>
      </c>
      <c r="M33" s="84">
        <v>23925.065047344586</v>
      </c>
      <c r="N33" s="84">
        <v>24139.635406994734</v>
      </c>
      <c r="O33" s="84">
        <v>23955.496518235355</v>
      </c>
      <c r="P33" s="84">
        <f>AVERAGE(D33:O33)</f>
        <v>23370.293187227624</v>
      </c>
    </row>
    <row r="34" spans="2:16" s="9" customFormat="1">
      <c r="B34" s="68">
        <v>2</v>
      </c>
      <c r="C34" s="78" t="s">
        <v>97</v>
      </c>
      <c r="D34" s="84">
        <v>1039.7046006854296</v>
      </c>
      <c r="E34" s="84">
        <v>1021.3717959352965</v>
      </c>
      <c r="F34" s="84">
        <v>982.66639055705116</v>
      </c>
      <c r="G34" s="84">
        <v>893.60421661843736</v>
      </c>
      <c r="H34" s="84">
        <v>837.20074395536267</v>
      </c>
      <c r="I34" s="84">
        <v>888.58358147229114</v>
      </c>
      <c r="J34" s="84">
        <v>953.03107701876229</v>
      </c>
      <c r="K34" s="84">
        <v>889.09147991324994</v>
      </c>
      <c r="L34" s="84">
        <v>826.87063671955491</v>
      </c>
      <c r="M34" s="84">
        <v>852.9809798270893</v>
      </c>
      <c r="N34" s="84">
        <v>819.84500154750845</v>
      </c>
      <c r="O34" s="84">
        <v>898.53612976547163</v>
      </c>
      <c r="P34" s="84">
        <f t="shared" ref="P34:P48" si="2">AVERAGE(D34:O34)</f>
        <v>908.62388616795863</v>
      </c>
    </row>
    <row r="35" spans="2:16" s="9" customFormat="1">
      <c r="B35" s="68">
        <v>3</v>
      </c>
      <c r="C35" s="78" t="s">
        <v>98</v>
      </c>
      <c r="D35" s="84">
        <v>1826.1591027105619</v>
      </c>
      <c r="E35" s="84">
        <v>1895.030817088345</v>
      </c>
      <c r="F35" s="84">
        <v>1959.5916752950923</v>
      </c>
      <c r="G35" s="84">
        <v>1590.5974369574203</v>
      </c>
      <c r="H35" s="84">
        <v>1666.4375284149619</v>
      </c>
      <c r="I35" s="84">
        <v>1654.2988420181969</v>
      </c>
      <c r="J35" s="84">
        <v>1865.9832486783455</v>
      </c>
      <c r="K35" s="84">
        <v>1632.6191882680987</v>
      </c>
      <c r="L35" s="84">
        <v>1481.1166701009686</v>
      </c>
      <c r="M35" s="84">
        <v>1500.4974475092629</v>
      </c>
      <c r="N35" s="84">
        <v>1522.1389456308677</v>
      </c>
      <c r="O35" s="84">
        <v>1634.8151668560802</v>
      </c>
      <c r="P35" s="84">
        <f t="shared" si="2"/>
        <v>1685.7738391273499</v>
      </c>
    </row>
    <row r="36" spans="2:16" s="9" customFormat="1">
      <c r="B36" s="68">
        <v>4</v>
      </c>
      <c r="C36" s="78" t="s">
        <v>99</v>
      </c>
      <c r="D36" s="84">
        <v>903.2234707653962</v>
      </c>
      <c r="E36" s="84">
        <v>947.67917876399827</v>
      </c>
      <c r="F36" s="84">
        <v>981.39324911990059</v>
      </c>
      <c r="G36" s="84">
        <v>813.41252583712276</v>
      </c>
      <c r="H36" s="84">
        <v>812.33477991320524</v>
      </c>
      <c r="I36" s="84">
        <v>828.43296112489668</v>
      </c>
      <c r="J36" s="84">
        <v>915.45085518814142</v>
      </c>
      <c r="K36" s="84">
        <v>838.60530827222965</v>
      </c>
      <c r="L36" s="84">
        <v>761.62719967030705</v>
      </c>
      <c r="M36" s="84">
        <v>737.62622478386163</v>
      </c>
      <c r="N36" s="84">
        <v>758.47126792530685</v>
      </c>
      <c r="O36" s="84">
        <v>810.57915073871277</v>
      </c>
      <c r="P36" s="84">
        <f t="shared" si="2"/>
        <v>842.40301434192327</v>
      </c>
    </row>
    <row r="37" spans="2:16" s="9" customFormat="1">
      <c r="B37" s="68">
        <v>5</v>
      </c>
      <c r="C37" s="78" t="s">
        <v>100</v>
      </c>
      <c r="D37" s="84">
        <v>512.71238965624673</v>
      </c>
      <c r="E37" s="84">
        <v>505.71621733720445</v>
      </c>
      <c r="F37" s="84">
        <v>508.91604887140198</v>
      </c>
      <c r="G37" s="84">
        <v>470.78412567176514</v>
      </c>
      <c r="H37" s="84">
        <v>503.25220086794792</v>
      </c>
      <c r="I37" s="84">
        <v>509.0507030603805</v>
      </c>
      <c r="J37" s="84">
        <v>503.21086348087488</v>
      </c>
      <c r="K37" s="84">
        <v>506.25058349685014</v>
      </c>
      <c r="L37" s="84">
        <v>520.76785493509169</v>
      </c>
      <c r="M37" s="84">
        <v>522.60098806093038</v>
      </c>
      <c r="N37" s="84">
        <v>532.38374084390796</v>
      </c>
      <c r="O37" s="84">
        <v>525.96945965492307</v>
      </c>
      <c r="P37" s="84">
        <f t="shared" si="2"/>
        <v>510.13459799479375</v>
      </c>
    </row>
    <row r="38" spans="2:16" s="9" customFormat="1">
      <c r="B38" s="68">
        <v>6</v>
      </c>
      <c r="C38" s="78" t="s">
        <v>101</v>
      </c>
      <c r="D38" s="84">
        <v>11.524602762488316</v>
      </c>
      <c r="E38" s="84">
        <v>11.274408958938199</v>
      </c>
      <c r="F38" s="84">
        <v>12.04564091944502</v>
      </c>
      <c r="G38" s="84">
        <v>10.067259198015709</v>
      </c>
      <c r="H38" s="84">
        <v>9.9167596610870028</v>
      </c>
      <c r="I38" s="84">
        <v>10.163358147229115</v>
      </c>
      <c r="J38" s="84">
        <v>10.823426972115683</v>
      </c>
      <c r="K38" s="84">
        <v>10.190684705153361</v>
      </c>
      <c r="L38" s="84">
        <v>9.3770451267257364</v>
      </c>
      <c r="M38" s="84">
        <v>8.8802387813915189</v>
      </c>
      <c r="N38" s="84">
        <v>9.0090580831527909</v>
      </c>
      <c r="O38" s="84">
        <v>9.8894100630230408</v>
      </c>
      <c r="P38" s="84">
        <f t="shared" si="2"/>
        <v>10.263491114897125</v>
      </c>
    </row>
    <row r="39" spans="2:16" s="9" customFormat="1">
      <c r="B39" s="68">
        <v>7</v>
      </c>
      <c r="C39" s="78" t="s">
        <v>102</v>
      </c>
      <c r="D39" s="84">
        <v>5.3842351230657384</v>
      </c>
      <c r="E39" s="84">
        <v>5.7632517627540443</v>
      </c>
      <c r="F39" s="84">
        <v>5.5428867260302344</v>
      </c>
      <c r="G39" s="84">
        <v>4.9794956593633728</v>
      </c>
      <c r="H39" s="84">
        <v>4.8583591651167604</v>
      </c>
      <c r="I39" s="84">
        <v>5.2477667493796529</v>
      </c>
      <c r="J39" s="84">
        <v>5.2837980719394624</v>
      </c>
      <c r="K39" s="84">
        <v>5.0643808736961677</v>
      </c>
      <c r="L39" s="84">
        <v>4.7375231815371928</v>
      </c>
      <c r="M39" s="84">
        <v>4.6941539728283237</v>
      </c>
      <c r="N39" s="84">
        <v>4.7838233776952439</v>
      </c>
      <c r="O39" s="84">
        <v>4.9576195888004957</v>
      </c>
      <c r="P39" s="84">
        <f t="shared" si="2"/>
        <v>5.1081078543505578</v>
      </c>
    </row>
    <row r="40" spans="2:16" s="9" customFormat="1">
      <c r="B40" s="68">
        <v>8</v>
      </c>
      <c r="C40" s="78" t="s">
        <v>103</v>
      </c>
      <c r="D40" s="84">
        <v>5.2193581888046525</v>
      </c>
      <c r="E40" s="84">
        <v>5.3737868104520947</v>
      </c>
      <c r="F40" s="84">
        <v>5.7037896044729761</v>
      </c>
      <c r="G40" s="84">
        <v>5.7080611823067375</v>
      </c>
      <c r="H40" s="84">
        <v>5.5106426947716471</v>
      </c>
      <c r="I40" s="84">
        <v>5.5319272125723744</v>
      </c>
      <c r="J40" s="84">
        <v>5.4573649839328287</v>
      </c>
      <c r="K40" s="84">
        <v>4.875513787049468</v>
      </c>
      <c r="L40" s="84">
        <v>4.6853492684937148</v>
      </c>
      <c r="M40" s="84">
        <v>4.577727459860025</v>
      </c>
      <c r="N40" s="84">
        <v>4.746889507892293</v>
      </c>
      <c r="O40" s="84">
        <v>4.7550366773427006</v>
      </c>
      <c r="P40" s="84">
        <f t="shared" si="2"/>
        <v>5.1787872814959597</v>
      </c>
    </row>
    <row r="41" spans="2:16" s="9" customFormat="1">
      <c r="B41" s="68">
        <v>9</v>
      </c>
      <c r="C41" s="78" t="s">
        <v>104</v>
      </c>
      <c r="D41" s="84">
        <v>4.4320697891785237</v>
      </c>
      <c r="E41" s="84">
        <v>4.6357527996681878</v>
      </c>
      <c r="F41" s="84">
        <v>4.6514392213708842</v>
      </c>
      <c r="G41" s="84">
        <v>4.6424555601488224</v>
      </c>
      <c r="H41" s="84">
        <v>5.1102707170903079</v>
      </c>
      <c r="I41" s="84">
        <v>5.1658395368072796</v>
      </c>
      <c r="J41" s="84">
        <v>5.6191562143671607</v>
      </c>
      <c r="K41" s="84">
        <v>5.5874005989879167</v>
      </c>
      <c r="L41" s="84">
        <v>5.3823614259221104</v>
      </c>
      <c r="M41" s="84">
        <v>5.5225607245780148</v>
      </c>
      <c r="N41" s="84">
        <v>5.7515320334261837</v>
      </c>
      <c r="O41" s="84">
        <v>6.1236491373075737</v>
      </c>
      <c r="P41" s="84">
        <f t="shared" si="2"/>
        <v>5.2187073132377479</v>
      </c>
    </row>
    <row r="42" spans="2:16" s="9" customFormat="1">
      <c r="B42" s="68">
        <v>10</v>
      </c>
      <c r="C42" s="78" t="s">
        <v>105</v>
      </c>
      <c r="D42" s="84">
        <v>15.015474088690414</v>
      </c>
      <c r="E42" s="84">
        <v>16.330153463293239</v>
      </c>
      <c r="F42" s="84">
        <v>16.646096500310623</v>
      </c>
      <c r="G42" s="84">
        <v>16.021496486151303</v>
      </c>
      <c r="H42" s="84">
        <v>14.832816697664807</v>
      </c>
      <c r="I42" s="84">
        <v>15.32340777502068</v>
      </c>
      <c r="J42" s="84">
        <v>14.911164092463979</v>
      </c>
      <c r="K42" s="84">
        <v>13.387586491789735</v>
      </c>
      <c r="L42" s="84">
        <v>14.078714197403666</v>
      </c>
      <c r="M42" s="84">
        <v>11.991766158913132</v>
      </c>
      <c r="N42" s="84">
        <v>14.028267822139687</v>
      </c>
      <c r="O42" s="84">
        <v>15.080896786858148</v>
      </c>
      <c r="P42" s="84">
        <f t="shared" si="2"/>
        <v>14.803986713391618</v>
      </c>
    </row>
    <row r="43" spans="2:16" s="9" customFormat="1">
      <c r="B43" s="68">
        <v>11</v>
      </c>
      <c r="C43" s="78" t="s">
        <v>106</v>
      </c>
      <c r="D43" s="84">
        <v>7.5097310208744421</v>
      </c>
      <c r="E43" s="84">
        <v>10.552882621318954</v>
      </c>
      <c r="F43" s="84">
        <v>10.149140608821702</v>
      </c>
      <c r="G43" s="84">
        <v>9.545431996692848</v>
      </c>
      <c r="H43" s="84">
        <v>8.4360405042364128</v>
      </c>
      <c r="I43" s="84">
        <v>8.4817617866004955</v>
      </c>
      <c r="J43" s="84">
        <v>9.2354514356794866</v>
      </c>
      <c r="K43" s="84">
        <v>8.0853041412785291</v>
      </c>
      <c r="L43" s="84">
        <v>7.6973830620234898</v>
      </c>
      <c r="M43" s="84">
        <v>7.3023466447097576</v>
      </c>
      <c r="N43" s="84">
        <v>8.737109254100897</v>
      </c>
      <c r="O43" s="84">
        <v>10.072362847401592</v>
      </c>
      <c r="P43" s="84">
        <f t="shared" si="2"/>
        <v>8.8170788269782179</v>
      </c>
    </row>
    <row r="44" spans="2:16" s="9" customFormat="1">
      <c r="B44" s="68">
        <v>12</v>
      </c>
      <c r="C44" s="78" t="s">
        <v>107</v>
      </c>
      <c r="D44" s="84">
        <v>6.7553432339806836</v>
      </c>
      <c r="E44" s="84">
        <v>8.3837826627955199</v>
      </c>
      <c r="F44" s="84">
        <v>6.6402153655001035</v>
      </c>
      <c r="G44" s="84">
        <v>5.7550640760644898</v>
      </c>
      <c r="H44" s="84">
        <v>5.6445959909072121</v>
      </c>
      <c r="I44" s="84">
        <v>9.5859801488833742</v>
      </c>
      <c r="J44" s="84">
        <v>8.4044366124183689</v>
      </c>
      <c r="K44" s="84">
        <v>8.4778271196943091</v>
      </c>
      <c r="L44" s="84">
        <v>5.0047393364928903</v>
      </c>
      <c r="M44" s="84">
        <v>4.5303005351996708</v>
      </c>
      <c r="N44" s="84">
        <v>5.0744248426699681</v>
      </c>
      <c r="O44" s="84">
        <v>5.7304266969728275</v>
      </c>
      <c r="P44" s="84">
        <f t="shared" si="2"/>
        <v>6.665594718464952</v>
      </c>
    </row>
    <row r="45" spans="2:16" s="9" customFormat="1">
      <c r="B45" s="68">
        <v>13</v>
      </c>
      <c r="C45" s="78" t="s">
        <v>108</v>
      </c>
      <c r="D45" s="84">
        <v>1.2628518018485824</v>
      </c>
      <c r="E45" s="84">
        <v>1.2774782248029863</v>
      </c>
      <c r="F45" s="84">
        <v>1.3957341064402569</v>
      </c>
      <c r="G45" s="84">
        <v>1.3311285655229435</v>
      </c>
      <c r="H45" s="84">
        <v>1.3432527381690433</v>
      </c>
      <c r="I45" s="84">
        <v>1.4598842018196856</v>
      </c>
      <c r="J45" s="84">
        <v>1.3185446252721054</v>
      </c>
      <c r="K45" s="84">
        <v>0.98729732520912927</v>
      </c>
      <c r="L45" s="84">
        <v>1.030290541932825</v>
      </c>
      <c r="M45" s="84">
        <v>1.020996294771511</v>
      </c>
      <c r="N45" s="84">
        <v>1.1554730217682865</v>
      </c>
      <c r="O45" s="84">
        <v>1.264593449736543</v>
      </c>
      <c r="P45" s="84">
        <f t="shared" si="2"/>
        <v>1.237293741441158</v>
      </c>
    </row>
    <row r="46" spans="2:16" s="9" customFormat="1">
      <c r="B46" s="68">
        <v>14</v>
      </c>
      <c r="C46" s="78" t="s">
        <v>109</v>
      </c>
      <c r="D46" s="84">
        <v>0.762696022432236</v>
      </c>
      <c r="E46" s="84">
        <v>0.82807963500622139</v>
      </c>
      <c r="F46" s="84">
        <v>0.8229032926071651</v>
      </c>
      <c r="G46" s="84">
        <v>0.65795783381562623</v>
      </c>
      <c r="H46" s="84">
        <v>0.63682579045257282</v>
      </c>
      <c r="I46" s="84">
        <v>0.69722911497105045</v>
      </c>
      <c r="J46" s="84">
        <v>0.71897999378044986</v>
      </c>
      <c r="K46" s="84">
        <v>0.62117112465145097</v>
      </c>
      <c r="L46" s="84">
        <v>0.64253039357098696</v>
      </c>
      <c r="M46" s="84">
        <v>0.65961300946891721</v>
      </c>
      <c r="N46" s="84">
        <v>0.61970494171051271</v>
      </c>
      <c r="O46" s="84">
        <v>0.67874780452526084</v>
      </c>
      <c r="P46" s="84">
        <f t="shared" si="2"/>
        <v>0.69553657974937089</v>
      </c>
    </row>
    <row r="47" spans="2:16" s="9" customFormat="1">
      <c r="B47" s="68">
        <v>15</v>
      </c>
      <c r="C47" s="78" t="s">
        <v>110</v>
      </c>
      <c r="D47" s="84">
        <v>0</v>
      </c>
      <c r="E47" s="84">
        <v>0</v>
      </c>
      <c r="F47" s="84">
        <v>0</v>
      </c>
      <c r="G47" s="84">
        <v>0</v>
      </c>
      <c r="H47" s="84">
        <v>0</v>
      </c>
      <c r="I47" s="84">
        <v>0</v>
      </c>
      <c r="J47" s="84">
        <v>0</v>
      </c>
      <c r="K47" s="84">
        <v>30.15172983579469</v>
      </c>
      <c r="L47" s="84">
        <v>27.53801772099732</v>
      </c>
      <c r="M47" s="84">
        <v>26.593371757925073</v>
      </c>
      <c r="N47" s="84">
        <v>27.408150211492828</v>
      </c>
      <c r="O47" s="84">
        <v>30.152991011468128</v>
      </c>
      <c r="P47" s="84">
        <f t="shared" si="2"/>
        <v>11.820355044806503</v>
      </c>
    </row>
    <row r="48" spans="2:16" s="9" customFormat="1">
      <c r="B48" s="68">
        <v>16</v>
      </c>
      <c r="C48" s="65" t="s">
        <v>111</v>
      </c>
      <c r="D48" s="84">
        <v>0</v>
      </c>
      <c r="E48" s="84">
        <v>0</v>
      </c>
      <c r="F48" s="84">
        <v>0</v>
      </c>
      <c r="G48" s="84">
        <v>0</v>
      </c>
      <c r="H48" s="84">
        <v>0</v>
      </c>
      <c r="I48" s="84">
        <v>0</v>
      </c>
      <c r="J48" s="84">
        <v>0</v>
      </c>
      <c r="K48" s="84">
        <v>0</v>
      </c>
      <c r="L48" s="84">
        <v>0</v>
      </c>
      <c r="M48" s="84">
        <v>0</v>
      </c>
      <c r="N48" s="84">
        <v>0</v>
      </c>
      <c r="O48" s="84">
        <v>0</v>
      </c>
      <c r="P48" s="84">
        <f t="shared" si="2"/>
        <v>0</v>
      </c>
    </row>
    <row r="49" spans="2:16" s="9" customFormat="1">
      <c r="B49" s="68">
        <v>17</v>
      </c>
      <c r="C49" s="65" t="s">
        <v>112</v>
      </c>
      <c r="D49" s="84"/>
      <c r="E49" s="84"/>
      <c r="F49" s="84"/>
      <c r="G49" s="84"/>
      <c r="H49" s="84"/>
      <c r="I49" s="84"/>
      <c r="J49" s="84"/>
      <c r="K49" s="84"/>
      <c r="L49" s="84"/>
      <c r="M49" s="84"/>
      <c r="N49" s="84"/>
      <c r="O49" s="84"/>
      <c r="P49" s="84"/>
    </row>
    <row r="50" spans="2:16" s="9" customFormat="1">
      <c r="B50" s="68"/>
      <c r="C50" s="79" t="s">
        <v>95</v>
      </c>
      <c r="D50" s="198">
        <f t="shared" ref="D50:P50" si="3">SUM(D33:D49)</f>
        <v>28117.246110707241</v>
      </c>
      <c r="E50" s="198">
        <f t="shared" si="3"/>
        <v>27557.873662380756</v>
      </c>
      <c r="F50" s="198">
        <f t="shared" si="3"/>
        <v>28864.755477324492</v>
      </c>
      <c r="G50" s="198">
        <f t="shared" si="3"/>
        <v>23947.354195948741</v>
      </c>
      <c r="H50" s="198">
        <f t="shared" si="3"/>
        <v>26728.999049390372</v>
      </c>
      <c r="I50" s="198">
        <f t="shared" si="3"/>
        <v>27211.150827129863</v>
      </c>
      <c r="J50" s="198">
        <f t="shared" si="3"/>
        <v>28133.10508966518</v>
      </c>
      <c r="K50" s="198">
        <f t="shared" si="3"/>
        <v>27802.314324073115</v>
      </c>
      <c r="L50" s="198">
        <f t="shared" si="3"/>
        <v>26899.216113744082</v>
      </c>
      <c r="M50" s="198">
        <f t="shared" si="3"/>
        <v>27614.543762865374</v>
      </c>
      <c r="N50" s="198">
        <f t="shared" si="3"/>
        <v>27853.788796038378</v>
      </c>
      <c r="O50" s="198">
        <f t="shared" si="3"/>
        <v>27914.102159313981</v>
      </c>
      <c r="P50" s="198">
        <f t="shared" si="3"/>
        <v>27387.037464048459</v>
      </c>
    </row>
    <row r="51" spans="2:16">
      <c r="B51" s="1"/>
    </row>
    <row r="52" spans="2:16">
      <c r="B52" s="8" t="s">
        <v>114</v>
      </c>
    </row>
    <row r="53" spans="2:16">
      <c r="B53" s="9"/>
      <c r="C53" s="9"/>
      <c r="D53" s="210"/>
      <c r="E53" s="210"/>
      <c r="F53" s="210"/>
      <c r="G53" s="210"/>
      <c r="H53" s="210"/>
      <c r="I53" s="210"/>
      <c r="J53" s="210"/>
      <c r="K53" s="210"/>
      <c r="L53" s="210"/>
      <c r="M53" s="210"/>
      <c r="N53" s="210"/>
      <c r="O53" s="210"/>
      <c r="P53" s="208" t="s">
        <v>81</v>
      </c>
    </row>
    <row r="54" spans="2:16">
      <c r="B54" s="66" t="s">
        <v>2</v>
      </c>
      <c r="C54" s="69" t="s">
        <v>82</v>
      </c>
      <c r="D54" s="209" t="s">
        <v>83</v>
      </c>
      <c r="E54" s="209" t="s">
        <v>84</v>
      </c>
      <c r="F54" s="209" t="s">
        <v>85</v>
      </c>
      <c r="G54" s="209" t="s">
        <v>86</v>
      </c>
      <c r="H54" s="209" t="s">
        <v>87</v>
      </c>
      <c r="I54" s="209" t="s">
        <v>88</v>
      </c>
      <c r="J54" s="209" t="s">
        <v>89</v>
      </c>
      <c r="K54" s="209" t="s">
        <v>90</v>
      </c>
      <c r="L54" s="209" t="s">
        <v>91</v>
      </c>
      <c r="M54" s="209" t="s">
        <v>92</v>
      </c>
      <c r="N54" s="209" t="s">
        <v>93</v>
      </c>
      <c r="O54" s="209" t="s">
        <v>94</v>
      </c>
      <c r="P54" s="209" t="s">
        <v>95</v>
      </c>
    </row>
    <row r="55" spans="2:16">
      <c r="B55" s="68">
        <v>1</v>
      </c>
      <c r="C55" s="78" t="s">
        <v>96</v>
      </c>
      <c r="D55" s="84">
        <f t="shared" ref="D55:O55" si="4">AVERAGE(D11,D33)</f>
        <v>23777.580184858241</v>
      </c>
      <c r="E55" s="84">
        <f t="shared" si="4"/>
        <v>23119.247345499793</v>
      </c>
      <c r="F55" s="84">
        <f t="shared" si="4"/>
        <v>23993.813129012218</v>
      </c>
      <c r="G55" s="84">
        <f t="shared" si="4"/>
        <v>20119.506014882179</v>
      </c>
      <c r="H55" s="84">
        <f t="shared" si="4"/>
        <v>22727.9219466832</v>
      </c>
      <c r="I55" s="84">
        <f t="shared" si="4"/>
        <v>23042.939123242348</v>
      </c>
      <c r="J55" s="84">
        <f t="shared" si="4"/>
        <v>23791.83323312947</v>
      </c>
      <c r="K55" s="84">
        <f t="shared" si="4"/>
        <v>23796.40090880925</v>
      </c>
      <c r="L55" s="84">
        <f t="shared" si="4"/>
        <v>23220.999010921078</v>
      </c>
      <c r="M55" s="84">
        <f t="shared" si="4"/>
        <v>23925.065047344586</v>
      </c>
      <c r="N55" s="84">
        <f t="shared" si="4"/>
        <v>24128.503229134425</v>
      </c>
      <c r="O55" s="84">
        <f t="shared" si="4"/>
        <v>23955.496518235355</v>
      </c>
      <c r="P55" s="84">
        <f>AVERAGE(D55:O55)</f>
        <v>23299.942140979343</v>
      </c>
    </row>
    <row r="56" spans="2:16">
      <c r="B56" s="68">
        <v>2</v>
      </c>
      <c r="C56" s="78" t="s">
        <v>97</v>
      </c>
      <c r="D56" s="84">
        <f t="shared" ref="D56:O56" si="5">AVERAGE(D12,D34)</f>
        <v>1020.3814726347493</v>
      </c>
      <c r="E56" s="84">
        <f t="shared" si="5"/>
        <v>1000.9619867274989</v>
      </c>
      <c r="F56" s="84">
        <f t="shared" si="5"/>
        <v>970.61401946572789</v>
      </c>
      <c r="G56" s="84">
        <f t="shared" si="5"/>
        <v>874.95442331541949</v>
      </c>
      <c r="H56" s="84">
        <f t="shared" si="5"/>
        <v>816.23508989460629</v>
      </c>
      <c r="I56" s="84">
        <f t="shared" si="5"/>
        <v>866.22619933829617</v>
      </c>
      <c r="J56" s="84">
        <f t="shared" si="5"/>
        <v>939.24507100653045</v>
      </c>
      <c r="K56" s="84">
        <f t="shared" si="5"/>
        <v>868.33890323246919</v>
      </c>
      <c r="L56" s="84">
        <f t="shared" si="5"/>
        <v>799.83785287451065</v>
      </c>
      <c r="M56" s="84">
        <f t="shared" si="5"/>
        <v>792.54590366405932</v>
      </c>
      <c r="N56" s="84">
        <f t="shared" si="5"/>
        <v>810.26053853296185</v>
      </c>
      <c r="O56" s="84">
        <f t="shared" si="5"/>
        <v>895.02146916003721</v>
      </c>
      <c r="P56" s="84">
        <f t="shared" ref="P56:P70" si="6">AVERAGE(D56:O56)</f>
        <v>887.88524415390566</v>
      </c>
    </row>
    <row r="57" spans="2:16">
      <c r="B57" s="68">
        <v>3</v>
      </c>
      <c r="C57" s="78" t="s">
        <v>98</v>
      </c>
      <c r="D57" s="84">
        <f t="shared" ref="D57:O57" si="7">AVERAGE(D13,D35)</f>
        <v>1788.4769550316751</v>
      </c>
      <c r="E57" s="84">
        <f t="shared" si="7"/>
        <v>1788.1505599336374</v>
      </c>
      <c r="F57" s="84">
        <f t="shared" si="7"/>
        <v>1851.5669082625805</v>
      </c>
      <c r="G57" s="84">
        <f t="shared" si="7"/>
        <v>1554.7464034725094</v>
      </c>
      <c r="H57" s="84">
        <f t="shared" si="7"/>
        <v>1595.5950816284358</v>
      </c>
      <c r="I57" s="84">
        <f t="shared" si="7"/>
        <v>1652.9881513647642</v>
      </c>
      <c r="J57" s="84">
        <f t="shared" si="7"/>
        <v>1757.3825023323311</v>
      </c>
      <c r="K57" s="84">
        <f t="shared" si="7"/>
        <v>1585.0049571413817</v>
      </c>
      <c r="L57" s="84">
        <f t="shared" si="7"/>
        <v>1404.23562744694</v>
      </c>
      <c r="M57" s="84">
        <f t="shared" si="7"/>
        <v>1382.5883902840674</v>
      </c>
      <c r="N57" s="84">
        <f t="shared" si="7"/>
        <v>1457.4521613535542</v>
      </c>
      <c r="O57" s="84">
        <f t="shared" si="7"/>
        <v>1627.9597685711333</v>
      </c>
      <c r="P57" s="84">
        <f t="shared" si="6"/>
        <v>1620.5122889019176</v>
      </c>
    </row>
    <row r="58" spans="2:16">
      <c r="B58" s="68">
        <v>4</v>
      </c>
      <c r="C58" s="78" t="s">
        <v>99</v>
      </c>
      <c r="D58" s="84">
        <f t="shared" ref="D58:O58" si="8">AVERAGE(D14,D36)</f>
        <v>884.78552289957429</v>
      </c>
      <c r="E58" s="84">
        <f t="shared" si="8"/>
        <v>910.36105350476964</v>
      </c>
      <c r="F58" s="84">
        <f t="shared" si="8"/>
        <v>946.87703458272938</v>
      </c>
      <c r="G58" s="84">
        <f t="shared" si="8"/>
        <v>778.1489045059941</v>
      </c>
      <c r="H58" s="84">
        <f t="shared" si="8"/>
        <v>783.59173382930362</v>
      </c>
      <c r="I58" s="84">
        <f t="shared" si="8"/>
        <v>820.53070719602988</v>
      </c>
      <c r="J58" s="84">
        <f t="shared" si="8"/>
        <v>874.09229812376907</v>
      </c>
      <c r="K58" s="84">
        <f t="shared" si="8"/>
        <v>812.19655065578854</v>
      </c>
      <c r="L58" s="84">
        <f t="shared" si="8"/>
        <v>706.30311147743669</v>
      </c>
      <c r="M58" s="84">
        <f t="shared" si="8"/>
        <v>675.91469740634011</v>
      </c>
      <c r="N58" s="84">
        <f t="shared" si="8"/>
        <v>717.03097080367274</v>
      </c>
      <c r="O58" s="84">
        <f t="shared" si="8"/>
        <v>805.63293728690985</v>
      </c>
      <c r="P58" s="84">
        <f t="shared" si="6"/>
        <v>809.62212685602651</v>
      </c>
    </row>
    <row r="59" spans="2:16">
      <c r="B59" s="68">
        <v>5</v>
      </c>
      <c r="C59" s="78" t="s">
        <v>100</v>
      </c>
      <c r="D59" s="84">
        <f t="shared" ref="D59:O59" si="9">AVERAGE(D15,D37)</f>
        <v>478.61252466507426</v>
      </c>
      <c r="E59" s="84">
        <f t="shared" si="9"/>
        <v>469.16511820821233</v>
      </c>
      <c r="F59" s="84">
        <f t="shared" si="9"/>
        <v>462.11847173327817</v>
      </c>
      <c r="G59" s="84">
        <f t="shared" si="9"/>
        <v>437.54477056634971</v>
      </c>
      <c r="H59" s="84">
        <f t="shared" si="9"/>
        <v>469.47993387063445</v>
      </c>
      <c r="I59" s="84">
        <f t="shared" si="9"/>
        <v>471.72866004962782</v>
      </c>
      <c r="J59" s="84">
        <f t="shared" si="9"/>
        <v>476.88131025189182</v>
      </c>
      <c r="K59" s="84">
        <f t="shared" si="9"/>
        <v>489.08542806981302</v>
      </c>
      <c r="L59" s="84">
        <f t="shared" si="9"/>
        <v>485.58695652173913</v>
      </c>
      <c r="M59" s="84">
        <f t="shared" si="9"/>
        <v>484.22107863318234</v>
      </c>
      <c r="N59" s="84">
        <f t="shared" si="9"/>
        <v>486.65573093985347</v>
      </c>
      <c r="O59" s="84">
        <f t="shared" si="9"/>
        <v>504.46918070048559</v>
      </c>
      <c r="P59" s="84">
        <f t="shared" si="6"/>
        <v>476.29576368417844</v>
      </c>
    </row>
    <row r="60" spans="2:16">
      <c r="B60" s="68">
        <v>6</v>
      </c>
      <c r="C60" s="78" t="s">
        <v>101</v>
      </c>
      <c r="D60" s="84">
        <f t="shared" ref="D60:O60" si="10">AVERAGE(D16,D38)</f>
        <v>11.121881815349465</v>
      </c>
      <c r="E60" s="84">
        <f t="shared" si="10"/>
        <v>10.843197843218581</v>
      </c>
      <c r="F60" s="84">
        <f t="shared" si="10"/>
        <v>11.218078277076</v>
      </c>
      <c r="G60" s="84">
        <f t="shared" si="10"/>
        <v>9.2538032244729216</v>
      </c>
      <c r="H60" s="84">
        <f t="shared" si="10"/>
        <v>9.451084934903907</v>
      </c>
      <c r="I60" s="84">
        <f t="shared" si="10"/>
        <v>9.4198511166253098</v>
      </c>
      <c r="J60" s="84">
        <f t="shared" si="10"/>
        <v>10.279672437027054</v>
      </c>
      <c r="K60" s="84">
        <f t="shared" si="10"/>
        <v>9.6579365898998226</v>
      </c>
      <c r="L60" s="84">
        <f t="shared" si="10"/>
        <v>8.5713579229342667</v>
      </c>
      <c r="M60" s="84">
        <f t="shared" si="10"/>
        <v>8.0460889254837369</v>
      </c>
      <c r="N60" s="84">
        <f t="shared" si="10"/>
        <v>8.2633446817290821</v>
      </c>
      <c r="O60" s="84">
        <f t="shared" si="10"/>
        <v>9.4204153321624133</v>
      </c>
      <c r="P60" s="84">
        <f t="shared" si="6"/>
        <v>9.6288927584068791</v>
      </c>
    </row>
    <row r="61" spans="2:16">
      <c r="B61" s="68">
        <v>7</v>
      </c>
      <c r="C61" s="78" t="s">
        <v>102</v>
      </c>
      <c r="D61" s="84">
        <f t="shared" ref="D61:O61" si="11">AVERAGE(D17,D39)</f>
        <v>5.1592688752726144</v>
      </c>
      <c r="E61" s="84">
        <f t="shared" si="11"/>
        <v>5.3784736623807552</v>
      </c>
      <c r="F61" s="84">
        <f t="shared" si="11"/>
        <v>5.3594740111824395</v>
      </c>
      <c r="G61" s="84">
        <f t="shared" si="11"/>
        <v>4.7616577097974364</v>
      </c>
      <c r="H61" s="84">
        <f t="shared" si="11"/>
        <v>4.6093407728869611</v>
      </c>
      <c r="I61" s="84">
        <f t="shared" si="11"/>
        <v>4.877253928866832</v>
      </c>
      <c r="J61" s="84">
        <f t="shared" si="11"/>
        <v>4.815300093293251</v>
      </c>
      <c r="K61" s="84">
        <f t="shared" si="11"/>
        <v>4.7373747805432194</v>
      </c>
      <c r="L61" s="84">
        <f t="shared" si="11"/>
        <v>4.1297135792293425</v>
      </c>
      <c r="M61" s="84">
        <f t="shared" si="11"/>
        <v>4.2185055578427333</v>
      </c>
      <c r="N61" s="84">
        <f t="shared" si="11"/>
        <v>4.3941401011038899</v>
      </c>
      <c r="O61" s="84">
        <f t="shared" si="11"/>
        <v>4.6569480318214698</v>
      </c>
      <c r="P61" s="84">
        <f t="shared" si="6"/>
        <v>4.7581209253517445</v>
      </c>
    </row>
    <row r="62" spans="2:16">
      <c r="B62" s="68">
        <v>8</v>
      </c>
      <c r="C62" s="78" t="s">
        <v>103</v>
      </c>
      <c r="D62" s="84">
        <f t="shared" ref="D62:O62" si="12">AVERAGE(D18,D40)</f>
        <v>5.2049018589677019</v>
      </c>
      <c r="E62" s="84">
        <f t="shared" si="12"/>
        <v>5.2558481957693903</v>
      </c>
      <c r="F62" s="84">
        <f t="shared" si="12"/>
        <v>5.4861047835990888</v>
      </c>
      <c r="G62" s="84">
        <f t="shared" si="12"/>
        <v>5.1156883009508061</v>
      </c>
      <c r="H62" s="84">
        <f t="shared" si="12"/>
        <v>4.8876834056623268</v>
      </c>
      <c r="I62" s="84">
        <f t="shared" si="12"/>
        <v>5.1788254755996697</v>
      </c>
      <c r="J62" s="84">
        <f t="shared" si="12"/>
        <v>5.0548978957188764</v>
      </c>
      <c r="K62" s="84">
        <f t="shared" si="12"/>
        <v>4.5327687700092945</v>
      </c>
      <c r="L62" s="84">
        <f t="shared" si="12"/>
        <v>4.057407788996497</v>
      </c>
      <c r="M62" s="84">
        <f t="shared" si="12"/>
        <v>4.1932894195142039</v>
      </c>
      <c r="N62" s="84">
        <f t="shared" si="12"/>
        <v>4.439801918910554</v>
      </c>
      <c r="O62" s="84">
        <f t="shared" si="12"/>
        <v>4.6187002789544369</v>
      </c>
      <c r="P62" s="84">
        <f t="shared" si="6"/>
        <v>4.8354931743877367</v>
      </c>
    </row>
    <row r="63" spans="2:16">
      <c r="B63" s="68">
        <v>9</v>
      </c>
      <c r="C63" s="78" t="s">
        <v>104</v>
      </c>
      <c r="D63" s="84">
        <f t="shared" ref="D63:O63" si="13">AVERAGE(D19,D41)</f>
        <v>4.2866548966663203</v>
      </c>
      <c r="E63" s="84">
        <f t="shared" si="13"/>
        <v>4.4854417254251349</v>
      </c>
      <c r="F63" s="84">
        <f t="shared" si="13"/>
        <v>4.3346862704493683</v>
      </c>
      <c r="G63" s="84">
        <f t="shared" si="13"/>
        <v>4.3053534518396033</v>
      </c>
      <c r="H63" s="84">
        <f t="shared" si="13"/>
        <v>4.9756767927257695</v>
      </c>
      <c r="I63" s="84">
        <f t="shared" si="13"/>
        <v>4.9985732009925563</v>
      </c>
      <c r="J63" s="84">
        <f t="shared" si="13"/>
        <v>5.4653052762516845</v>
      </c>
      <c r="K63" s="84">
        <f t="shared" si="13"/>
        <v>5.3144480016523801</v>
      </c>
      <c r="L63" s="84">
        <f t="shared" si="13"/>
        <v>5.2325159695033996</v>
      </c>
      <c r="M63" s="84">
        <f t="shared" si="13"/>
        <v>5.3194112803622886</v>
      </c>
      <c r="N63" s="84">
        <f t="shared" si="13"/>
        <v>5.436830702568864</v>
      </c>
      <c r="O63" s="84">
        <f t="shared" si="13"/>
        <v>5.9533836140097121</v>
      </c>
      <c r="P63" s="84">
        <f t="shared" si="6"/>
        <v>5.00902343187059</v>
      </c>
    </row>
    <row r="64" spans="2:16">
      <c r="B64" s="68">
        <v>10</v>
      </c>
      <c r="C64" s="78" t="s">
        <v>105</v>
      </c>
      <c r="D64" s="84">
        <f t="shared" ref="D64:O64" si="14">AVERAGE(D20,D42)</f>
        <v>14.443452071866236</v>
      </c>
      <c r="E64" s="84">
        <f t="shared" si="14"/>
        <v>14.661551223558689</v>
      </c>
      <c r="F64" s="84">
        <f t="shared" si="14"/>
        <v>16.419134396355354</v>
      </c>
      <c r="G64" s="84">
        <f t="shared" si="14"/>
        <v>15.035551880942538</v>
      </c>
      <c r="H64" s="84">
        <f t="shared" si="14"/>
        <v>13.768547220500103</v>
      </c>
      <c r="I64" s="84">
        <f t="shared" si="14"/>
        <v>14.455748552522747</v>
      </c>
      <c r="J64" s="84">
        <f t="shared" si="14"/>
        <v>14.090183476728516</v>
      </c>
      <c r="K64" s="84">
        <f t="shared" si="14"/>
        <v>12.142104719611691</v>
      </c>
      <c r="L64" s="84">
        <f t="shared" si="14"/>
        <v>11.783226869977334</v>
      </c>
      <c r="M64" s="84">
        <f t="shared" si="14"/>
        <v>10.656648826677646</v>
      </c>
      <c r="N64" s="84">
        <f t="shared" si="14"/>
        <v>11.960383782110801</v>
      </c>
      <c r="O64" s="84">
        <f t="shared" si="14"/>
        <v>14.297758032854635</v>
      </c>
      <c r="P64" s="84">
        <f t="shared" si="6"/>
        <v>13.642857587808855</v>
      </c>
    </row>
    <row r="65" spans="2:16">
      <c r="B65" s="68">
        <v>11</v>
      </c>
      <c r="C65" s="78" t="s">
        <v>106</v>
      </c>
      <c r="D65" s="84">
        <f t="shared" ref="D65:O65" si="15">AVERAGE(D21,D43)</f>
        <v>7.1550732163256825</v>
      </c>
      <c r="E65" s="84">
        <f t="shared" si="15"/>
        <v>8.7822895064288673</v>
      </c>
      <c r="F65" s="84">
        <f t="shared" si="15"/>
        <v>8.443445848001657</v>
      </c>
      <c r="G65" s="84">
        <f t="shared" si="15"/>
        <v>7.3397271599834637</v>
      </c>
      <c r="H65" s="84">
        <f t="shared" si="15"/>
        <v>7.7504649721016738</v>
      </c>
      <c r="I65" s="84">
        <f t="shared" si="15"/>
        <v>8.0666253101736967</v>
      </c>
      <c r="J65" s="84">
        <f t="shared" si="15"/>
        <v>8.4427490411526911</v>
      </c>
      <c r="K65" s="84">
        <f t="shared" si="15"/>
        <v>7.6592998037798203</v>
      </c>
      <c r="L65" s="84">
        <f t="shared" si="15"/>
        <v>6.5028642077065726</v>
      </c>
      <c r="M65" s="84">
        <f t="shared" si="15"/>
        <v>6.5940304652120219</v>
      </c>
      <c r="N65" s="84">
        <f t="shared" si="15"/>
        <v>7.6603528319405747</v>
      </c>
      <c r="O65" s="84">
        <f t="shared" si="15"/>
        <v>9.3065399318111375</v>
      </c>
      <c r="P65" s="84">
        <f t="shared" si="6"/>
        <v>7.8086218578848205</v>
      </c>
    </row>
    <row r="66" spans="2:16">
      <c r="B66" s="68">
        <v>12</v>
      </c>
      <c r="C66" s="78" t="s">
        <v>107</v>
      </c>
      <c r="D66" s="84">
        <f t="shared" ref="D66:O66" si="16">AVERAGE(D22,D44)</f>
        <v>6.6076435766953994</v>
      </c>
      <c r="E66" s="84">
        <f t="shared" si="16"/>
        <v>7.4623807548734957</v>
      </c>
      <c r="F66" s="84">
        <f t="shared" si="16"/>
        <v>6.4831227997515013</v>
      </c>
      <c r="G66" s="84">
        <f t="shared" si="16"/>
        <v>5.1966721785861925</v>
      </c>
      <c r="H66" s="84">
        <f t="shared" si="16"/>
        <v>5.0613349865674726</v>
      </c>
      <c r="I66" s="84">
        <f t="shared" si="16"/>
        <v>7.2227667493796526</v>
      </c>
      <c r="J66" s="84">
        <f t="shared" si="16"/>
        <v>4.2022183062091845</v>
      </c>
      <c r="K66" s="84">
        <f t="shared" si="16"/>
        <v>6.499617887018486</v>
      </c>
      <c r="L66" s="84">
        <f t="shared" si="16"/>
        <v>4.0146301256954455</v>
      </c>
      <c r="M66" s="84">
        <f t="shared" si="16"/>
        <v>4.0386167146974064</v>
      </c>
      <c r="N66" s="84">
        <f t="shared" si="16"/>
        <v>4.6160321881770354</v>
      </c>
      <c r="O66" s="84">
        <f t="shared" si="16"/>
        <v>5.4577745634879635</v>
      </c>
      <c r="P66" s="84">
        <f t="shared" si="6"/>
        <v>5.5719009025949369</v>
      </c>
    </row>
    <row r="67" spans="2:16">
      <c r="B67" s="68">
        <v>13</v>
      </c>
      <c r="C67" s="78" t="s">
        <v>108</v>
      </c>
      <c r="D67" s="84">
        <f t="shared" ref="D67:O67" si="17">AVERAGE(D23,D45)</f>
        <v>1.2046941530792399</v>
      </c>
      <c r="E67" s="84">
        <f t="shared" si="17"/>
        <v>1.2360016590626297</v>
      </c>
      <c r="F67" s="84">
        <f t="shared" si="17"/>
        <v>1.2714847794574446</v>
      </c>
      <c r="G67" s="84">
        <f t="shared" si="17"/>
        <v>1.1616370400992146</v>
      </c>
      <c r="H67" s="84">
        <f t="shared" si="17"/>
        <v>1.3019218846869189</v>
      </c>
      <c r="I67" s="84">
        <f t="shared" si="17"/>
        <v>1.424731182795699</v>
      </c>
      <c r="J67" s="84">
        <f t="shared" si="17"/>
        <v>1.1361044884420028</v>
      </c>
      <c r="K67" s="84">
        <f t="shared" si="17"/>
        <v>0.87369616854280685</v>
      </c>
      <c r="L67" s="84">
        <f t="shared" si="17"/>
        <v>0.89841335256542343</v>
      </c>
      <c r="M67" s="84">
        <f t="shared" si="17"/>
        <v>0.82132564841498557</v>
      </c>
      <c r="N67" s="84">
        <f t="shared" si="17"/>
        <v>0.92437841741462923</v>
      </c>
      <c r="O67" s="84">
        <f t="shared" si="17"/>
        <v>1.0786238247752866</v>
      </c>
      <c r="P67" s="84">
        <f t="shared" si="6"/>
        <v>1.1110843832780235</v>
      </c>
    </row>
    <row r="68" spans="2:16">
      <c r="B68" s="68">
        <v>14</v>
      </c>
      <c r="C68" s="78" t="s">
        <v>109</v>
      </c>
      <c r="D68" s="84">
        <f t="shared" ref="D68:O68" si="18">AVERAGE(D24,D46)</f>
        <v>0.68110914944438683</v>
      </c>
      <c r="E68" s="84">
        <f t="shared" si="18"/>
        <v>0.71868519286603072</v>
      </c>
      <c r="F68" s="84">
        <f t="shared" si="18"/>
        <v>0.78165251604887143</v>
      </c>
      <c r="G68" s="84">
        <f t="shared" si="18"/>
        <v>0.6033898305084745</v>
      </c>
      <c r="H68" s="84">
        <f t="shared" si="18"/>
        <v>0.56271957015912377</v>
      </c>
      <c r="I68" s="84">
        <f t="shared" si="18"/>
        <v>0.58413978494623653</v>
      </c>
      <c r="J68" s="84">
        <f t="shared" si="18"/>
        <v>0.64106976262050375</v>
      </c>
      <c r="K68" s="84">
        <f t="shared" si="18"/>
        <v>0.54687596819167617</v>
      </c>
      <c r="L68" s="84">
        <f t="shared" si="18"/>
        <v>0.53119719760972595</v>
      </c>
      <c r="M68" s="84">
        <f t="shared" si="18"/>
        <v>0.5089954713874022</v>
      </c>
      <c r="N68" s="84">
        <f t="shared" si="18"/>
        <v>0.54505313112555442</v>
      </c>
      <c r="O68" s="84">
        <f t="shared" si="18"/>
        <v>0.66992457898543245</v>
      </c>
      <c r="P68" s="84">
        <f t="shared" si="6"/>
        <v>0.61456767949111812</v>
      </c>
    </row>
    <row r="69" spans="2:16">
      <c r="B69" s="68">
        <v>15</v>
      </c>
      <c r="C69" s="78" t="s">
        <v>110</v>
      </c>
      <c r="D69" s="84">
        <f t="shared" ref="D69:O69" si="19">AVERAGE(D25,D47)</f>
        <v>0</v>
      </c>
      <c r="E69" s="84">
        <f t="shared" si="19"/>
        <v>0</v>
      </c>
      <c r="F69" s="84">
        <f t="shared" si="19"/>
        <v>0</v>
      </c>
      <c r="G69" s="84">
        <f t="shared" si="19"/>
        <v>0</v>
      </c>
      <c r="H69" s="84">
        <f t="shared" si="19"/>
        <v>0</v>
      </c>
      <c r="I69" s="84">
        <f t="shared" si="19"/>
        <v>0</v>
      </c>
      <c r="J69" s="84">
        <f t="shared" si="19"/>
        <v>0</v>
      </c>
      <c r="K69" s="84">
        <f t="shared" si="19"/>
        <v>29.495714138180315</v>
      </c>
      <c r="L69" s="84">
        <f t="shared" si="19"/>
        <v>24.051390892231609</v>
      </c>
      <c r="M69" s="84">
        <f t="shared" si="19"/>
        <v>25.040654590366408</v>
      </c>
      <c r="N69" s="84">
        <f t="shared" si="19"/>
        <v>26.669183947178375</v>
      </c>
      <c r="O69" s="84">
        <f t="shared" si="19"/>
        <v>29.390432895960327</v>
      </c>
      <c r="P69" s="84">
        <f t="shared" si="6"/>
        <v>11.220614705326419</v>
      </c>
    </row>
    <row r="70" spans="2:16">
      <c r="B70" s="68">
        <v>16</v>
      </c>
      <c r="C70" s="65" t="s">
        <v>111</v>
      </c>
      <c r="D70" s="84">
        <f t="shared" ref="D70:O70" si="20">AVERAGE(D26,D48)</f>
        <v>0</v>
      </c>
      <c r="E70" s="84">
        <f t="shared" si="20"/>
        <v>0</v>
      </c>
      <c r="F70" s="84">
        <f t="shared" si="20"/>
        <v>0</v>
      </c>
      <c r="G70" s="84">
        <f t="shared" si="20"/>
        <v>0</v>
      </c>
      <c r="H70" s="84">
        <f t="shared" si="20"/>
        <v>0</v>
      </c>
      <c r="I70" s="84">
        <f t="shared" si="20"/>
        <v>0</v>
      </c>
      <c r="J70" s="84">
        <f t="shared" si="20"/>
        <v>0</v>
      </c>
      <c r="K70" s="84">
        <f t="shared" si="20"/>
        <v>0</v>
      </c>
      <c r="L70" s="84">
        <f t="shared" si="20"/>
        <v>0</v>
      </c>
      <c r="M70" s="84">
        <f t="shared" si="20"/>
        <v>0</v>
      </c>
      <c r="N70" s="84">
        <f t="shared" si="20"/>
        <v>0</v>
      </c>
      <c r="O70" s="84">
        <f t="shared" si="20"/>
        <v>0</v>
      </c>
      <c r="P70" s="84">
        <f t="shared" si="6"/>
        <v>0</v>
      </c>
    </row>
    <row r="71" spans="2:16">
      <c r="B71" s="68">
        <v>17</v>
      </c>
      <c r="C71" s="65" t="s">
        <v>112</v>
      </c>
      <c r="D71" s="84"/>
      <c r="E71" s="84"/>
      <c r="F71" s="84"/>
      <c r="G71" s="84"/>
      <c r="H71" s="84"/>
      <c r="I71" s="84"/>
      <c r="J71" s="84"/>
      <c r="K71" s="84"/>
      <c r="L71" s="84"/>
      <c r="M71" s="84"/>
      <c r="N71" s="84"/>
      <c r="O71" s="84"/>
      <c r="P71" s="84"/>
    </row>
    <row r="72" spans="2:16" s="8" customFormat="1">
      <c r="B72" s="85"/>
      <c r="C72" s="79" t="s">
        <v>95</v>
      </c>
      <c r="D72" s="198">
        <f t="shared" ref="D72:O72" si="21">SUM(D55:D71)</f>
        <v>28005.701339702984</v>
      </c>
      <c r="E72" s="198">
        <f t="shared" si="21"/>
        <v>27346.709933637496</v>
      </c>
      <c r="F72" s="198">
        <f t="shared" si="21"/>
        <v>28284.786746738457</v>
      </c>
      <c r="G72" s="198">
        <f t="shared" si="21"/>
        <v>23817.673997519629</v>
      </c>
      <c r="H72" s="198">
        <f t="shared" si="21"/>
        <v>26445.192560446372</v>
      </c>
      <c r="I72" s="198">
        <f t="shared" si="21"/>
        <v>26910.641356492964</v>
      </c>
      <c r="J72" s="198">
        <f t="shared" si="21"/>
        <v>27893.561915621442</v>
      </c>
      <c r="K72" s="198">
        <f t="shared" si="21"/>
        <v>27632.486584736136</v>
      </c>
      <c r="L72" s="198">
        <f t="shared" si="21"/>
        <v>26686.735277148153</v>
      </c>
      <c r="M72" s="198">
        <f t="shared" si="21"/>
        <v>27329.77268423219</v>
      </c>
      <c r="N72" s="198">
        <f t="shared" si="21"/>
        <v>27674.812132466726</v>
      </c>
      <c r="O72" s="198">
        <f t="shared" si="21"/>
        <v>27873.430375038752</v>
      </c>
      <c r="P72" s="198">
        <f>AVERAGE(D72:O72)</f>
        <v>27158.458741981773</v>
      </c>
    </row>
    <row r="73" spans="2:16">
      <c r="B73" s="1"/>
      <c r="C73" s="7"/>
      <c r="G73" s="208"/>
      <c r="I73" s="207"/>
      <c r="L73" s="207"/>
    </row>
    <row r="74" spans="2:16">
      <c r="B74" s="8" t="s">
        <v>115</v>
      </c>
      <c r="C74" s="7"/>
      <c r="G74" s="208"/>
      <c r="I74" s="207"/>
      <c r="L74" s="207"/>
    </row>
    <row r="75" spans="2:16">
      <c r="B75" s="1"/>
      <c r="C75" s="7"/>
      <c r="G75" s="208"/>
      <c r="I75" s="207"/>
      <c r="L75" s="207"/>
    </row>
    <row r="76" spans="2:16">
      <c r="B76" s="8" t="s">
        <v>80</v>
      </c>
      <c r="C76" s="7"/>
      <c r="G76" s="208"/>
      <c r="I76" s="207"/>
      <c r="L76" s="207"/>
    </row>
    <row r="77" spans="2:16">
      <c r="B77" s="1"/>
      <c r="C77" s="7"/>
      <c r="G77" s="208"/>
      <c r="I77" s="207"/>
      <c r="L77" s="207"/>
      <c r="P77" s="208" t="s">
        <v>81</v>
      </c>
    </row>
    <row r="78" spans="2:16">
      <c r="B78" s="66" t="s">
        <v>2</v>
      </c>
      <c r="C78" s="66" t="s">
        <v>82</v>
      </c>
      <c r="D78" s="209" t="s">
        <v>83</v>
      </c>
      <c r="E78" s="209" t="s">
        <v>84</v>
      </c>
      <c r="F78" s="209" t="s">
        <v>85</v>
      </c>
      <c r="G78" s="209" t="s">
        <v>86</v>
      </c>
      <c r="H78" s="209" t="s">
        <v>87</v>
      </c>
      <c r="I78" s="209" t="s">
        <v>88</v>
      </c>
      <c r="J78" s="209" t="s">
        <v>89</v>
      </c>
      <c r="K78" s="209" t="s">
        <v>90</v>
      </c>
      <c r="L78" s="209" t="s">
        <v>91</v>
      </c>
      <c r="M78" s="209" t="s">
        <v>92</v>
      </c>
      <c r="N78" s="209" t="s">
        <v>93</v>
      </c>
      <c r="O78" s="209" t="s">
        <v>94</v>
      </c>
      <c r="P78" s="209" t="s">
        <v>95</v>
      </c>
    </row>
    <row r="79" spans="2:16" s="9" customFormat="1">
      <c r="B79" s="68">
        <v>1</v>
      </c>
      <c r="C79" s="78" t="s">
        <v>96</v>
      </c>
      <c r="D79" s="84">
        <v>23828.224759142235</v>
      </c>
      <c r="E79" s="84">
        <v>23609.251814328542</v>
      </c>
      <c r="F79" s="84">
        <v>23112.126503525509</v>
      </c>
      <c r="G79" s="84">
        <v>20533.157620279359</v>
      </c>
      <c r="H79" s="84">
        <v>20569.173071354708</v>
      </c>
      <c r="I79" s="84">
        <v>20104.804599999999</v>
      </c>
      <c r="J79" s="84">
        <v>20904.417119999998</v>
      </c>
      <c r="K79" s="197"/>
      <c r="L79" s="197"/>
      <c r="M79" s="197"/>
      <c r="N79" s="197"/>
      <c r="O79" s="197"/>
      <c r="P79" s="84">
        <f>AVERAGE(D79:J79)</f>
        <v>21808.736498375765</v>
      </c>
    </row>
    <row r="80" spans="2:16" s="9" customFormat="1">
      <c r="B80" s="68">
        <v>2</v>
      </c>
      <c r="C80" s="78" t="s">
        <v>97</v>
      </c>
      <c r="D80" s="84">
        <v>1007.7424220449601</v>
      </c>
      <c r="E80" s="84">
        <v>957.45944381267441</v>
      </c>
      <c r="F80" s="84">
        <v>1042.5326835338033</v>
      </c>
      <c r="G80" s="84">
        <v>857.41781686497666</v>
      </c>
      <c r="H80" s="84">
        <v>835.49178903826271</v>
      </c>
      <c r="I80" s="84">
        <v>912.81503999999995</v>
      </c>
      <c r="J80" s="84">
        <v>886.86527999999998</v>
      </c>
      <c r="K80" s="197"/>
      <c r="L80" s="197"/>
      <c r="M80" s="197"/>
      <c r="N80" s="197"/>
      <c r="O80" s="197"/>
      <c r="P80" s="84">
        <f t="shared" ref="P80:P96" si="22">AVERAGE(D80:J80)</f>
        <v>928.61778218495397</v>
      </c>
    </row>
    <row r="81" spans="2:16" s="9" customFormat="1">
      <c r="B81" s="68">
        <v>3</v>
      </c>
      <c r="C81" s="78" t="s">
        <v>98</v>
      </c>
      <c r="D81" s="84">
        <v>1779.3012327773747</v>
      </c>
      <c r="E81" s="84">
        <v>1713.5089424170371</v>
      </c>
      <c r="F81" s="84">
        <v>1953.6382413936126</v>
      </c>
      <c r="G81" s="84">
        <v>1561.3480393171235</v>
      </c>
      <c r="H81" s="84">
        <v>1506.2764012409514</v>
      </c>
      <c r="I81" s="84">
        <v>1584.5369599999999</v>
      </c>
      <c r="J81" s="84">
        <v>1743.42452</v>
      </c>
      <c r="K81" s="197"/>
      <c r="L81" s="197"/>
      <c r="M81" s="197"/>
      <c r="N81" s="197"/>
      <c r="O81" s="197"/>
      <c r="P81" s="84">
        <f t="shared" si="22"/>
        <v>1691.7191910208712</v>
      </c>
    </row>
    <row r="82" spans="2:16" s="9" customFormat="1">
      <c r="B82" s="68">
        <v>4</v>
      </c>
      <c r="C82" s="78" t="s">
        <v>99</v>
      </c>
      <c r="D82" s="84">
        <v>876.53094374805755</v>
      </c>
      <c r="E82" s="84">
        <v>862.12058306626693</v>
      </c>
      <c r="F82" s="84">
        <v>973.10526752384897</v>
      </c>
      <c r="G82" s="84">
        <v>715.15099844800829</v>
      </c>
      <c r="H82" s="84">
        <v>690.4385935884178</v>
      </c>
      <c r="I82" s="84">
        <v>783.21896000000004</v>
      </c>
      <c r="J82" s="84">
        <v>783.38987999999995</v>
      </c>
      <c r="K82" s="197"/>
      <c r="L82" s="197"/>
      <c r="M82" s="197"/>
      <c r="N82" s="197"/>
      <c r="O82" s="197"/>
      <c r="P82" s="84">
        <f t="shared" si="22"/>
        <v>811.99360376779987</v>
      </c>
    </row>
    <row r="83" spans="2:16" s="9" customFormat="1">
      <c r="B83" s="68">
        <v>5</v>
      </c>
      <c r="C83" s="78" t="s">
        <v>100</v>
      </c>
      <c r="D83" s="84">
        <v>492.67013363721122</v>
      </c>
      <c r="E83" s="84">
        <v>474.0128605396464</v>
      </c>
      <c r="F83" s="84">
        <v>482.34143508917458</v>
      </c>
      <c r="G83" s="84">
        <v>488.874536989136</v>
      </c>
      <c r="H83" s="84">
        <v>484.5250465356774</v>
      </c>
      <c r="I83" s="84">
        <v>465.45643999999999</v>
      </c>
      <c r="J83" s="84">
        <v>486.66016000000002</v>
      </c>
      <c r="K83" s="197"/>
      <c r="L83" s="197"/>
      <c r="M83" s="197"/>
      <c r="N83" s="197"/>
      <c r="O83" s="197"/>
      <c r="P83" s="84">
        <f t="shared" si="22"/>
        <v>482.07723039869222</v>
      </c>
    </row>
    <row r="84" spans="2:16" s="9" customFormat="1">
      <c r="B84" s="68">
        <v>6</v>
      </c>
      <c r="C84" s="78" t="s">
        <v>101</v>
      </c>
      <c r="D84" s="84">
        <v>10.739873614420388</v>
      </c>
      <c r="E84" s="84">
        <v>10.382259898687066</v>
      </c>
      <c r="F84" s="84">
        <v>10.749979261717128</v>
      </c>
      <c r="G84" s="84">
        <v>8.4270253491981375</v>
      </c>
      <c r="H84" s="84">
        <v>8.3379524301964842</v>
      </c>
      <c r="I84" s="84">
        <v>7.8349599999999997</v>
      </c>
      <c r="J84" s="84">
        <v>8.76112</v>
      </c>
      <c r="K84" s="197"/>
      <c r="L84" s="197"/>
      <c r="M84" s="197"/>
      <c r="N84" s="197"/>
      <c r="O84" s="197"/>
      <c r="P84" s="84">
        <f t="shared" si="22"/>
        <v>9.3190243648884579</v>
      </c>
    </row>
    <row r="85" spans="2:16" s="9" customFormat="1">
      <c r="B85" s="68">
        <v>7</v>
      </c>
      <c r="C85" s="78" t="s">
        <v>102</v>
      </c>
      <c r="D85" s="84">
        <v>4.9763596809282085</v>
      </c>
      <c r="E85" s="84">
        <v>5.0507598469967947</v>
      </c>
      <c r="F85" s="84">
        <v>4.929489838241393</v>
      </c>
      <c r="G85" s="84">
        <v>3.9930470770822555</v>
      </c>
      <c r="H85" s="84">
        <v>3.9909410548086868</v>
      </c>
      <c r="I85" s="84">
        <v>4.6853999999999996</v>
      </c>
      <c r="J85" s="84">
        <v>4.3226000000000004</v>
      </c>
      <c r="K85" s="197"/>
      <c r="L85" s="197"/>
      <c r="M85" s="197"/>
      <c r="N85" s="197"/>
      <c r="O85" s="197"/>
      <c r="P85" s="84">
        <f t="shared" si="22"/>
        <v>4.5640853568653341</v>
      </c>
    </row>
    <row r="86" spans="2:16" s="9" customFormat="1">
      <c r="B86" s="68">
        <v>8</v>
      </c>
      <c r="C86" s="78" t="s">
        <v>103</v>
      </c>
      <c r="D86" s="84">
        <v>5.3014399668496832</v>
      </c>
      <c r="E86" s="84">
        <v>5.4171404941589989</v>
      </c>
      <c r="F86" s="84">
        <v>5.400165906262961</v>
      </c>
      <c r="G86" s="84">
        <v>3.9806725297465078</v>
      </c>
      <c r="H86" s="84">
        <v>4.6136091003102377</v>
      </c>
      <c r="I86" s="84">
        <v>10.160600000000001</v>
      </c>
      <c r="J86" s="84">
        <v>4.73996</v>
      </c>
      <c r="K86" s="197"/>
      <c r="L86" s="197"/>
      <c r="M86" s="197"/>
      <c r="N86" s="197"/>
      <c r="O86" s="197"/>
      <c r="P86" s="84">
        <f t="shared" si="22"/>
        <v>5.65908399961834</v>
      </c>
    </row>
    <row r="87" spans="2:16" s="9" customFormat="1">
      <c r="B87" s="68">
        <v>9</v>
      </c>
      <c r="C87" s="78" t="s">
        <v>104</v>
      </c>
      <c r="D87" s="84">
        <v>6.5137470216512998</v>
      </c>
      <c r="E87" s="84">
        <v>6.6005582549364208</v>
      </c>
      <c r="F87" s="84">
        <v>8.8130651182082129</v>
      </c>
      <c r="G87" s="84">
        <v>10.598282462493533</v>
      </c>
      <c r="H87" s="84">
        <v>9.1325749741468467</v>
      </c>
      <c r="I87" s="84">
        <v>5.2069599999999996</v>
      </c>
      <c r="J87" s="84">
        <v>10.3432</v>
      </c>
      <c r="K87" s="197"/>
      <c r="L87" s="197"/>
      <c r="M87" s="197"/>
      <c r="N87" s="197"/>
      <c r="O87" s="197"/>
      <c r="P87" s="84">
        <f t="shared" si="22"/>
        <v>8.1726268330623331</v>
      </c>
    </row>
    <row r="88" spans="2:16" s="9" customFormat="1">
      <c r="B88" s="68">
        <v>10</v>
      </c>
      <c r="C88" s="78" t="s">
        <v>105</v>
      </c>
      <c r="D88" s="84">
        <v>14.761835698746502</v>
      </c>
      <c r="E88" s="84">
        <v>14.749508942417037</v>
      </c>
      <c r="F88" s="84">
        <v>16.637080049771878</v>
      </c>
      <c r="G88" s="84">
        <v>12.661769270563891</v>
      </c>
      <c r="H88" s="84">
        <v>11.894105480868665</v>
      </c>
      <c r="I88" s="84">
        <v>7.4187200000000004</v>
      </c>
      <c r="J88" s="84">
        <v>11.880800000000001</v>
      </c>
      <c r="K88" s="197"/>
      <c r="L88" s="197"/>
      <c r="M88" s="197"/>
      <c r="N88" s="197"/>
      <c r="O88" s="197"/>
      <c r="P88" s="84">
        <f t="shared" si="22"/>
        <v>12.857688491766851</v>
      </c>
    </row>
    <row r="89" spans="2:16" s="9" customFormat="1">
      <c r="B89" s="68">
        <v>11</v>
      </c>
      <c r="C89" s="78" t="s">
        <v>106</v>
      </c>
      <c r="D89" s="84">
        <v>10.963472495597223</v>
      </c>
      <c r="E89" s="84">
        <v>10.820427995451254</v>
      </c>
      <c r="F89" s="84">
        <v>9.8502695976773111</v>
      </c>
      <c r="G89" s="84">
        <v>6.3287325400931191</v>
      </c>
      <c r="H89" s="84">
        <v>6.2121199586349531</v>
      </c>
      <c r="I89" s="84">
        <v>0.53708</v>
      </c>
      <c r="J89" s="84">
        <v>6.7918399999999997</v>
      </c>
      <c r="K89" s="197"/>
      <c r="L89" s="197"/>
      <c r="M89" s="197"/>
      <c r="N89" s="197"/>
      <c r="O89" s="197"/>
      <c r="P89" s="84">
        <f t="shared" si="22"/>
        <v>7.3577060839219808</v>
      </c>
    </row>
    <row r="90" spans="2:16" s="9" customFormat="1">
      <c r="B90" s="68">
        <v>12</v>
      </c>
      <c r="C90" s="78" t="s">
        <v>107</v>
      </c>
      <c r="D90" s="84">
        <v>6.5577955039883973</v>
      </c>
      <c r="E90" s="84">
        <v>6.5793032151349111</v>
      </c>
      <c r="F90" s="84">
        <v>5.9480713396930733</v>
      </c>
      <c r="G90" s="84">
        <v>4.3631246766683915</v>
      </c>
      <c r="H90" s="84">
        <v>4.4445087900723887</v>
      </c>
      <c r="I90" s="84">
        <v>4.5672800000000002</v>
      </c>
      <c r="J90" s="84">
        <v>4.7286400000000004</v>
      </c>
      <c r="K90" s="197"/>
      <c r="L90" s="197"/>
      <c r="M90" s="197"/>
      <c r="N90" s="197"/>
      <c r="O90" s="197"/>
      <c r="P90" s="84">
        <f t="shared" si="22"/>
        <v>5.3126747893653095</v>
      </c>
    </row>
    <row r="91" spans="2:16" s="9" customFormat="1">
      <c r="B91" s="68">
        <v>13</v>
      </c>
      <c r="C91" s="78" t="s">
        <v>108</v>
      </c>
      <c r="D91" s="84">
        <v>1.0027970579094581</v>
      </c>
      <c r="E91" s="84">
        <v>0.60374237568489608</v>
      </c>
      <c r="F91" s="84">
        <v>0.96225632517627546</v>
      </c>
      <c r="G91" s="84">
        <v>0.80289705121572685</v>
      </c>
      <c r="H91" s="84">
        <v>0.91416752843846949</v>
      </c>
      <c r="I91" s="84">
        <v>12.767200000000001</v>
      </c>
      <c r="J91" s="84">
        <v>1.1639999999999999</v>
      </c>
      <c r="K91" s="197"/>
      <c r="L91" s="197"/>
      <c r="M91" s="197"/>
      <c r="N91" s="197"/>
      <c r="O91" s="197"/>
      <c r="P91" s="84">
        <f t="shared" si="22"/>
        <v>2.6024371912035469</v>
      </c>
    </row>
    <row r="92" spans="2:16" s="9" customFormat="1">
      <c r="B92" s="68">
        <v>14</v>
      </c>
      <c r="C92" s="78" t="s">
        <v>109</v>
      </c>
      <c r="D92" s="84">
        <v>0.63300528333160677</v>
      </c>
      <c r="E92" s="84">
        <v>0.64339915227954103</v>
      </c>
      <c r="F92" s="84">
        <v>0.62285358772293653</v>
      </c>
      <c r="G92" s="84">
        <v>0.42321779617175376</v>
      </c>
      <c r="H92" s="84">
        <v>0.43871768355739404</v>
      </c>
      <c r="I92" s="84">
        <v>0.748</v>
      </c>
      <c r="J92" s="84">
        <v>0.47783999999999999</v>
      </c>
      <c r="K92" s="197"/>
      <c r="L92" s="197"/>
      <c r="M92" s="197"/>
      <c r="N92" s="197"/>
      <c r="O92" s="197"/>
      <c r="P92" s="84">
        <f t="shared" si="22"/>
        <v>0.56957621472331899</v>
      </c>
    </row>
    <row r="93" spans="2:16" s="9" customFormat="1">
      <c r="B93" s="68">
        <v>15</v>
      </c>
      <c r="C93" s="78" t="s">
        <v>110</v>
      </c>
      <c r="D93" s="84">
        <v>23.546669429192999</v>
      </c>
      <c r="E93" s="84">
        <v>30.1926599813915</v>
      </c>
      <c r="F93" s="84">
        <v>31.095810866860223</v>
      </c>
      <c r="G93" s="84">
        <v>13.432343507501292</v>
      </c>
      <c r="H93" s="84">
        <v>17.222750775594623</v>
      </c>
      <c r="I93" s="84">
        <v>30.664680000000001</v>
      </c>
      <c r="J93" s="84">
        <v>21.262080000000001</v>
      </c>
      <c r="K93" s="197"/>
      <c r="L93" s="197"/>
      <c r="M93" s="197"/>
      <c r="N93" s="197"/>
      <c r="O93" s="197"/>
      <c r="P93" s="84">
        <f t="shared" si="22"/>
        <v>23.916713508648659</v>
      </c>
    </row>
    <row r="94" spans="2:16" s="9" customFormat="1">
      <c r="B94" s="68">
        <v>16</v>
      </c>
      <c r="C94" s="65" t="s">
        <v>111</v>
      </c>
      <c r="D94" s="84">
        <v>0</v>
      </c>
      <c r="E94" s="84">
        <v>0</v>
      </c>
      <c r="F94" s="84">
        <v>0</v>
      </c>
      <c r="G94" s="84">
        <v>13.988618727366786</v>
      </c>
      <c r="H94" s="84">
        <v>14.064115822130299</v>
      </c>
      <c r="I94" s="84">
        <v>15.24</v>
      </c>
      <c r="J94" s="84">
        <v>13.76</v>
      </c>
      <c r="K94" s="197"/>
      <c r="L94" s="197"/>
      <c r="M94" s="197"/>
      <c r="N94" s="197"/>
      <c r="O94" s="197"/>
      <c r="P94" s="84">
        <f t="shared" si="22"/>
        <v>8.1503906499281538</v>
      </c>
    </row>
    <row r="95" spans="2:16" s="9" customFormat="1">
      <c r="B95" s="68">
        <v>17</v>
      </c>
      <c r="C95" s="65" t="s">
        <v>112</v>
      </c>
      <c r="D95" s="84">
        <v>0</v>
      </c>
      <c r="E95" s="84">
        <v>0</v>
      </c>
      <c r="F95" s="84">
        <v>0</v>
      </c>
      <c r="G95" s="84">
        <v>9.891360579410243</v>
      </c>
      <c r="H95" s="84">
        <v>9.7207859358841784</v>
      </c>
      <c r="I95" s="84">
        <v>10.32</v>
      </c>
      <c r="J95" s="84">
        <v>9.7200000000000006</v>
      </c>
      <c r="K95" s="197"/>
      <c r="L95" s="197"/>
      <c r="M95" s="197"/>
      <c r="N95" s="197"/>
      <c r="O95" s="197"/>
      <c r="P95" s="84">
        <f t="shared" si="22"/>
        <v>5.6645923593277745</v>
      </c>
    </row>
    <row r="96" spans="2:16" s="86" customFormat="1">
      <c r="B96" s="85"/>
      <c r="C96" s="79" t="s">
        <v>95</v>
      </c>
      <c r="D96" s="198">
        <f t="shared" ref="D96:J96" si="23">SUM(D79:D95)</f>
        <v>28069.466487102458</v>
      </c>
      <c r="E96" s="198">
        <f t="shared" si="23"/>
        <v>27707.393404321301</v>
      </c>
      <c r="F96" s="198">
        <f t="shared" si="23"/>
        <v>27658.75317295728</v>
      </c>
      <c r="G96" s="198">
        <f t="shared" si="23"/>
        <v>24244.840103466115</v>
      </c>
      <c r="H96" s="198">
        <f t="shared" si="23"/>
        <v>24176.891251292662</v>
      </c>
      <c r="I96" s="198">
        <f t="shared" si="23"/>
        <v>23960.98288</v>
      </c>
      <c r="J96" s="198">
        <f t="shared" si="23"/>
        <v>24902.709039999994</v>
      </c>
      <c r="K96" s="211"/>
      <c r="L96" s="211"/>
      <c r="M96" s="211"/>
      <c r="N96" s="211"/>
      <c r="O96" s="211"/>
      <c r="P96" s="84">
        <f t="shared" si="22"/>
        <v>25817.290905591399</v>
      </c>
    </row>
    <row r="97" spans="2:16" s="9" customFormat="1">
      <c r="D97" s="210"/>
      <c r="E97" s="210"/>
      <c r="F97" s="210"/>
      <c r="G97" s="210"/>
      <c r="H97" s="210"/>
      <c r="I97" s="210"/>
      <c r="J97" s="210"/>
      <c r="K97" s="210"/>
      <c r="L97" s="210"/>
      <c r="M97" s="210"/>
      <c r="N97" s="210"/>
      <c r="O97" s="210"/>
      <c r="P97" s="210"/>
    </row>
    <row r="98" spans="2:16" s="9" customFormat="1">
      <c r="B98" s="8" t="s">
        <v>113</v>
      </c>
      <c r="D98" s="210"/>
      <c r="E98" s="210"/>
      <c r="F98" s="210"/>
      <c r="G98" s="210"/>
      <c r="H98" s="210"/>
      <c r="I98" s="210"/>
      <c r="J98" s="210"/>
      <c r="K98" s="210"/>
      <c r="L98" s="210"/>
      <c r="M98" s="210"/>
      <c r="N98" s="210"/>
      <c r="O98" s="210"/>
      <c r="P98" s="210"/>
    </row>
    <row r="99" spans="2:16" s="9" customFormat="1">
      <c r="D99" s="210"/>
      <c r="E99" s="210"/>
      <c r="F99" s="210"/>
      <c r="G99" s="210"/>
      <c r="H99" s="210"/>
      <c r="I99" s="210"/>
      <c r="J99" s="210"/>
      <c r="K99" s="210"/>
      <c r="L99" s="210"/>
      <c r="M99" s="210"/>
      <c r="N99" s="210"/>
      <c r="O99" s="210"/>
      <c r="P99" s="208" t="s">
        <v>81</v>
      </c>
    </row>
    <row r="100" spans="2:16">
      <c r="B100" s="66" t="s">
        <v>2</v>
      </c>
      <c r="C100" s="69" t="s">
        <v>82</v>
      </c>
      <c r="D100" s="209" t="s">
        <v>83</v>
      </c>
      <c r="E100" s="209" t="s">
        <v>84</v>
      </c>
      <c r="F100" s="209" t="s">
        <v>85</v>
      </c>
      <c r="G100" s="209" t="s">
        <v>86</v>
      </c>
      <c r="H100" s="209" t="s">
        <v>87</v>
      </c>
      <c r="I100" s="209" t="s">
        <v>88</v>
      </c>
      <c r="J100" s="209" t="s">
        <v>89</v>
      </c>
      <c r="K100" s="209" t="s">
        <v>90</v>
      </c>
      <c r="L100" s="209" t="s">
        <v>91</v>
      </c>
      <c r="M100" s="209" t="s">
        <v>92</v>
      </c>
      <c r="N100" s="209" t="s">
        <v>93</v>
      </c>
      <c r="O100" s="209" t="s">
        <v>94</v>
      </c>
      <c r="P100" s="209" t="s">
        <v>95</v>
      </c>
    </row>
    <row r="101" spans="2:16" s="9" customFormat="1">
      <c r="B101" s="68">
        <v>1</v>
      </c>
      <c r="C101" s="78" t="s">
        <v>96</v>
      </c>
      <c r="D101" s="84">
        <v>23828.224759142235</v>
      </c>
      <c r="E101" s="84">
        <v>23611.241600330814</v>
      </c>
      <c r="F101" s="84">
        <v>23328.901451679802</v>
      </c>
      <c r="G101" s="84">
        <v>20533.157620279359</v>
      </c>
      <c r="H101" s="84">
        <v>20668.302254395036</v>
      </c>
      <c r="I101" s="88">
        <v>20104.804599999999</v>
      </c>
      <c r="J101" s="84">
        <v>20904.417119999998</v>
      </c>
      <c r="K101" s="197"/>
      <c r="L101" s="197"/>
      <c r="M101" s="197"/>
      <c r="N101" s="197"/>
      <c r="O101" s="197"/>
      <c r="P101" s="84">
        <f>AVERAGE(D101:J101)</f>
        <v>21854.149915118178</v>
      </c>
    </row>
    <row r="102" spans="2:16" s="9" customFormat="1">
      <c r="B102" s="68">
        <v>2</v>
      </c>
      <c r="C102" s="78" t="s">
        <v>97</v>
      </c>
      <c r="D102" s="84">
        <v>1025.8300631927898</v>
      </c>
      <c r="E102" s="84">
        <v>1041.4704021503153</v>
      </c>
      <c r="F102" s="84">
        <v>1056.4356698465367</v>
      </c>
      <c r="G102" s="84">
        <v>1005.9826176927056</v>
      </c>
      <c r="H102" s="84">
        <v>990.21617373319543</v>
      </c>
      <c r="I102" s="88">
        <v>939.81575999999995</v>
      </c>
      <c r="J102" s="84">
        <v>951.42520000000002</v>
      </c>
      <c r="K102" s="197"/>
      <c r="L102" s="197"/>
      <c r="M102" s="197"/>
      <c r="N102" s="197"/>
      <c r="O102" s="197"/>
      <c r="P102" s="84">
        <f t="shared" ref="P102:P117" si="24">AVERAGE(D102:J102)</f>
        <v>1001.5965552307919</v>
      </c>
    </row>
    <row r="103" spans="2:16" s="9" customFormat="1">
      <c r="B103" s="68">
        <v>3</v>
      </c>
      <c r="C103" s="78" t="s">
        <v>98</v>
      </c>
      <c r="D103" s="84">
        <v>1879.8097586242618</v>
      </c>
      <c r="E103" s="84">
        <v>2077.4941383231676</v>
      </c>
      <c r="F103" s="84">
        <v>2049.4456242223141</v>
      </c>
      <c r="G103" s="84">
        <v>1737.6124987066735</v>
      </c>
      <c r="H103" s="84">
        <v>1732.4276732161325</v>
      </c>
      <c r="I103" s="88">
        <v>1673.63744</v>
      </c>
      <c r="J103" s="84">
        <v>1813.7166</v>
      </c>
      <c r="K103" s="197"/>
      <c r="L103" s="197"/>
      <c r="M103" s="197"/>
      <c r="N103" s="197"/>
      <c r="O103" s="197"/>
      <c r="P103" s="84">
        <f t="shared" si="24"/>
        <v>1852.0205332989356</v>
      </c>
    </row>
    <row r="104" spans="2:16" s="9" customFormat="1">
      <c r="B104" s="68">
        <v>4</v>
      </c>
      <c r="C104" s="78" t="s">
        <v>99</v>
      </c>
      <c r="D104" s="84">
        <v>926.50757277530295</v>
      </c>
      <c r="E104" s="84">
        <v>996.36691822598982</v>
      </c>
      <c r="F104" s="84">
        <v>995.74458730817082</v>
      </c>
      <c r="G104" s="84">
        <v>891.62938437661671</v>
      </c>
      <c r="H104" s="84">
        <v>844.90448810754913</v>
      </c>
      <c r="I104" s="88">
        <v>818.90247999999997</v>
      </c>
      <c r="J104" s="84">
        <v>892.16312000000005</v>
      </c>
      <c r="K104" s="197"/>
      <c r="L104" s="197"/>
      <c r="M104" s="197"/>
      <c r="N104" s="197"/>
      <c r="O104" s="197"/>
      <c r="P104" s="84">
        <f t="shared" si="24"/>
        <v>909.45979297051849</v>
      </c>
    </row>
    <row r="105" spans="2:16" s="9" customFormat="1">
      <c r="B105" s="68">
        <v>5</v>
      </c>
      <c r="C105" s="78" t="s">
        <v>100</v>
      </c>
      <c r="D105" s="84">
        <v>538.95012949342174</v>
      </c>
      <c r="E105" s="84">
        <v>568.87067093972905</v>
      </c>
      <c r="F105" s="84">
        <v>573.17897138116962</v>
      </c>
      <c r="G105" s="84">
        <v>536.00455250905327</v>
      </c>
      <c r="H105" s="84">
        <v>558.47023784901751</v>
      </c>
      <c r="I105" s="88">
        <v>544.8288</v>
      </c>
      <c r="J105" s="84">
        <v>562.16368</v>
      </c>
      <c r="K105" s="197"/>
      <c r="L105" s="197"/>
      <c r="M105" s="197"/>
      <c r="N105" s="197"/>
      <c r="O105" s="197"/>
      <c r="P105" s="84">
        <f t="shared" si="24"/>
        <v>554.63814888177012</v>
      </c>
    </row>
    <row r="106" spans="2:16" s="9" customFormat="1">
      <c r="B106" s="68">
        <v>6</v>
      </c>
      <c r="C106" s="78" t="s">
        <v>101</v>
      </c>
      <c r="D106" s="84">
        <v>11.945467730239304</v>
      </c>
      <c r="E106" s="84">
        <v>11.844308901064819</v>
      </c>
      <c r="F106" s="84">
        <v>11.086644545831605</v>
      </c>
      <c r="G106" s="84">
        <v>10.067915157785825</v>
      </c>
      <c r="H106" s="84">
        <v>9.5921406411582222</v>
      </c>
      <c r="I106" s="88">
        <v>9.52196</v>
      </c>
      <c r="J106" s="84">
        <v>9.6082000000000001</v>
      </c>
      <c r="K106" s="197"/>
      <c r="L106" s="197"/>
      <c r="M106" s="197"/>
      <c r="N106" s="197"/>
      <c r="O106" s="197"/>
      <c r="P106" s="84">
        <f t="shared" si="24"/>
        <v>10.52380528229711</v>
      </c>
    </row>
    <row r="107" spans="2:16" s="9" customFormat="1">
      <c r="B107" s="68">
        <v>7</v>
      </c>
      <c r="C107" s="78" t="s">
        <v>102</v>
      </c>
      <c r="D107" s="84">
        <v>5.3259297627680509</v>
      </c>
      <c r="E107" s="84">
        <v>5.6939108859712597</v>
      </c>
      <c r="F107" s="84">
        <v>5.9469929489838247</v>
      </c>
      <c r="G107" s="84">
        <v>5.2278116916709774</v>
      </c>
      <c r="H107" s="84">
        <v>5.2865356773526369</v>
      </c>
      <c r="I107" s="88">
        <v>5.0913199999999996</v>
      </c>
      <c r="J107" s="84">
        <v>5.4783999999999997</v>
      </c>
      <c r="K107" s="197"/>
      <c r="L107" s="197"/>
      <c r="M107" s="197"/>
      <c r="N107" s="197"/>
      <c r="O107" s="197"/>
      <c r="P107" s="84">
        <f t="shared" si="24"/>
        <v>5.4358429952495371</v>
      </c>
    </row>
    <row r="108" spans="2:16" s="9" customFormat="1">
      <c r="B108" s="68">
        <v>8</v>
      </c>
      <c r="C108" s="78" t="s">
        <v>103</v>
      </c>
      <c r="D108" s="84">
        <v>5.7942608515487413</v>
      </c>
      <c r="E108" s="84">
        <v>5.7986974051483502</v>
      </c>
      <c r="F108" s="84">
        <v>5.6546246370800493</v>
      </c>
      <c r="G108" s="84">
        <v>5.3532540093119501</v>
      </c>
      <c r="H108" s="84">
        <v>5.9820062047569804</v>
      </c>
      <c r="I108" s="88">
        <v>5.9807600000000001</v>
      </c>
      <c r="J108" s="84">
        <v>8.2515599999999996</v>
      </c>
      <c r="K108" s="197"/>
      <c r="L108" s="197"/>
      <c r="M108" s="197"/>
      <c r="N108" s="197"/>
      <c r="O108" s="197"/>
      <c r="P108" s="84">
        <f t="shared" si="24"/>
        <v>6.1164518725494395</v>
      </c>
    </row>
    <row r="109" spans="2:16" s="9" customFormat="1">
      <c r="B109" s="68">
        <v>9</v>
      </c>
      <c r="C109" s="78" t="s">
        <v>104</v>
      </c>
      <c r="D109" s="84">
        <v>6.7373459028281362</v>
      </c>
      <c r="E109" s="84">
        <v>8.5485371653054898</v>
      </c>
      <c r="F109" s="84">
        <v>11.761302364164246</v>
      </c>
      <c r="G109" s="84">
        <v>12.728525607863425</v>
      </c>
      <c r="H109" s="84">
        <v>12.073671147880042</v>
      </c>
      <c r="I109" s="88">
        <v>10.807399999999999</v>
      </c>
      <c r="J109" s="84">
        <v>10.84004</v>
      </c>
      <c r="K109" s="197"/>
      <c r="L109" s="197"/>
      <c r="M109" s="197"/>
      <c r="N109" s="197"/>
      <c r="O109" s="197"/>
      <c r="P109" s="84">
        <f t="shared" si="24"/>
        <v>10.499546026863047</v>
      </c>
    </row>
    <row r="110" spans="2:16" s="9" customFormat="1">
      <c r="B110" s="68">
        <v>10</v>
      </c>
      <c r="C110" s="78" t="s">
        <v>105</v>
      </c>
      <c r="D110" s="84">
        <v>16.158292758727857</v>
      </c>
      <c r="E110" s="84">
        <v>18.210689548227023</v>
      </c>
      <c r="F110" s="84">
        <v>18.428038158440479</v>
      </c>
      <c r="G110" s="84">
        <v>15.864252457320228</v>
      </c>
      <c r="H110" s="84">
        <v>15.499482936918303</v>
      </c>
      <c r="I110" s="88">
        <v>15.4008</v>
      </c>
      <c r="J110" s="84">
        <v>15.052</v>
      </c>
      <c r="K110" s="197"/>
      <c r="L110" s="197"/>
      <c r="M110" s="197"/>
      <c r="N110" s="197"/>
      <c r="O110" s="197"/>
      <c r="P110" s="84">
        <f t="shared" si="24"/>
        <v>16.373365122804842</v>
      </c>
    </row>
    <row r="111" spans="2:16" s="9" customFormat="1">
      <c r="B111" s="68">
        <v>11</v>
      </c>
      <c r="C111" s="78" t="s">
        <v>106</v>
      </c>
      <c r="D111" s="84">
        <v>11.146835180772817</v>
      </c>
      <c r="E111" s="84">
        <v>11.221296392019021</v>
      </c>
      <c r="F111" s="84">
        <v>10.441310659477395</v>
      </c>
      <c r="G111" s="84">
        <v>8.6128504914640462</v>
      </c>
      <c r="H111" s="84">
        <v>8.8797518097207853</v>
      </c>
      <c r="I111" s="88">
        <v>8.2819599999999998</v>
      </c>
      <c r="J111" s="84">
        <v>8.9788800000000002</v>
      </c>
      <c r="K111" s="197"/>
      <c r="L111" s="197"/>
      <c r="M111" s="197"/>
      <c r="N111" s="197"/>
      <c r="O111" s="197"/>
      <c r="P111" s="84">
        <f t="shared" si="24"/>
        <v>9.6518406476362948</v>
      </c>
    </row>
    <row r="112" spans="2:16" s="9" customFormat="1">
      <c r="B112" s="68">
        <v>12</v>
      </c>
      <c r="C112" s="78" t="s">
        <v>107</v>
      </c>
      <c r="D112" s="84">
        <v>6.9004040194758103</v>
      </c>
      <c r="E112" s="84">
        <v>6.9935697301767803</v>
      </c>
      <c r="F112" s="84">
        <v>6.2722521775197011</v>
      </c>
      <c r="G112" s="84">
        <v>5.6950646663217794</v>
      </c>
      <c r="H112" s="84">
        <v>5.9191726990692866</v>
      </c>
      <c r="I112" s="88">
        <v>5.97776</v>
      </c>
      <c r="J112" s="84">
        <v>6.2706799999999996</v>
      </c>
      <c r="K112" s="197"/>
      <c r="L112" s="197"/>
      <c r="M112" s="197"/>
      <c r="N112" s="197"/>
      <c r="O112" s="197"/>
      <c r="P112" s="84">
        <f t="shared" si="24"/>
        <v>6.2898433275090513</v>
      </c>
    </row>
    <row r="113" spans="2:18" s="9" customFormat="1">
      <c r="B113" s="68">
        <v>13</v>
      </c>
      <c r="C113" s="78" t="s">
        <v>108</v>
      </c>
      <c r="D113" s="84">
        <v>1.2182741116751268</v>
      </c>
      <c r="E113" s="84">
        <v>1.2281608601261242</v>
      </c>
      <c r="F113" s="84">
        <v>1.2235586893405226</v>
      </c>
      <c r="G113" s="84">
        <v>1.2664252457320226</v>
      </c>
      <c r="H113" s="84">
        <v>1.3071354705274043</v>
      </c>
      <c r="I113" s="88">
        <v>1.3640000000000001</v>
      </c>
      <c r="J113" s="84">
        <v>1.5760000000000001</v>
      </c>
      <c r="K113" s="197"/>
      <c r="L113" s="197"/>
      <c r="M113" s="197"/>
      <c r="N113" s="197"/>
      <c r="O113" s="197"/>
      <c r="P113" s="84">
        <f t="shared" si="24"/>
        <v>1.3119363396287429</v>
      </c>
    </row>
    <row r="114" spans="2:18" s="9" customFormat="1">
      <c r="B114" s="68">
        <v>14</v>
      </c>
      <c r="C114" s="78" t="s">
        <v>109</v>
      </c>
      <c r="D114" s="84">
        <v>0.76900445457370759</v>
      </c>
      <c r="E114" s="84">
        <v>0.74082497673937764</v>
      </c>
      <c r="F114" s="84">
        <v>0.72762339278307753</v>
      </c>
      <c r="G114" s="84">
        <v>0.6879668908432488</v>
      </c>
      <c r="H114" s="84">
        <v>0.68517063081695972</v>
      </c>
      <c r="I114" s="88">
        <v>0.64580000000000004</v>
      </c>
      <c r="J114" s="84">
        <v>0.67223999999999995</v>
      </c>
      <c r="K114" s="197"/>
      <c r="L114" s="197"/>
      <c r="M114" s="197"/>
      <c r="N114" s="197"/>
      <c r="O114" s="197"/>
      <c r="P114" s="84">
        <f t="shared" si="24"/>
        <v>0.70409004939376729</v>
      </c>
    </row>
    <row r="115" spans="2:18" s="9" customFormat="1">
      <c r="B115" s="68">
        <v>15</v>
      </c>
      <c r="C115" s="78" t="s">
        <v>110</v>
      </c>
      <c r="D115" s="84">
        <v>33.507427742670671</v>
      </c>
      <c r="E115" s="84">
        <v>33.522257831076189</v>
      </c>
      <c r="F115" s="84">
        <v>33.671422646204896</v>
      </c>
      <c r="G115" s="84">
        <v>32.82218313502328</v>
      </c>
      <c r="H115" s="84">
        <v>32.780889348500516</v>
      </c>
      <c r="I115" s="88">
        <v>31.901160000000001</v>
      </c>
      <c r="J115" s="84">
        <v>32.55124</v>
      </c>
      <c r="K115" s="197"/>
      <c r="L115" s="197"/>
      <c r="M115" s="197"/>
      <c r="N115" s="197"/>
      <c r="O115" s="197"/>
      <c r="P115" s="84">
        <f t="shared" si="24"/>
        <v>32.965225814782222</v>
      </c>
    </row>
    <row r="116" spans="2:18" s="9" customFormat="1">
      <c r="B116" s="68">
        <v>16</v>
      </c>
      <c r="C116" s="65" t="s">
        <v>111</v>
      </c>
      <c r="D116" s="84">
        <v>0</v>
      </c>
      <c r="E116" s="84">
        <v>0</v>
      </c>
      <c r="F116" s="84">
        <v>0</v>
      </c>
      <c r="G116" s="84">
        <v>16.117868598034143</v>
      </c>
      <c r="H116" s="84">
        <v>16.215098241985523</v>
      </c>
      <c r="I116" s="88">
        <v>15.88</v>
      </c>
      <c r="J116" s="84">
        <v>16.079999999999998</v>
      </c>
      <c r="K116" s="197"/>
      <c r="L116" s="197"/>
      <c r="M116" s="197"/>
      <c r="N116" s="197"/>
      <c r="O116" s="197"/>
      <c r="P116" s="84">
        <f t="shared" si="24"/>
        <v>9.1847095485742365</v>
      </c>
    </row>
    <row r="117" spans="2:18" s="9" customFormat="1">
      <c r="B117" s="68">
        <v>17</v>
      </c>
      <c r="C117" s="65" t="s">
        <v>112</v>
      </c>
      <c r="D117" s="84">
        <v>0</v>
      </c>
      <c r="E117" s="84">
        <v>0</v>
      </c>
      <c r="F117" s="84">
        <v>0</v>
      </c>
      <c r="G117" s="84">
        <v>11.464045525090533</v>
      </c>
      <c r="H117" s="84">
        <v>11.416752843846949</v>
      </c>
      <c r="I117" s="88">
        <v>11.04</v>
      </c>
      <c r="J117" s="84">
        <v>11.4</v>
      </c>
      <c r="K117" s="197"/>
      <c r="L117" s="197"/>
      <c r="M117" s="197"/>
      <c r="N117" s="197"/>
      <c r="O117" s="197"/>
      <c r="P117" s="84">
        <f t="shared" si="24"/>
        <v>6.4743997669910689</v>
      </c>
    </row>
    <row r="118" spans="2:18" s="9" customFormat="1">
      <c r="B118" s="68"/>
      <c r="C118" s="79" t="s">
        <v>95</v>
      </c>
      <c r="D118" s="198">
        <f t="shared" ref="D118:J118" si="25">SUM(D101:D117)</f>
        <v>28298.82552574329</v>
      </c>
      <c r="E118" s="198">
        <f t="shared" si="25"/>
        <v>28399.245983665871</v>
      </c>
      <c r="F118" s="198">
        <f t="shared" si="25"/>
        <v>28108.920074657821</v>
      </c>
      <c r="G118" s="198">
        <f t="shared" si="25"/>
        <v>24830.29483704087</v>
      </c>
      <c r="H118" s="198">
        <f t="shared" si="25"/>
        <v>24919.958634953462</v>
      </c>
      <c r="I118" s="198">
        <f t="shared" si="25"/>
        <v>24203.882000000001</v>
      </c>
      <c r="J118" s="198">
        <f t="shared" si="25"/>
        <v>25250.644960000005</v>
      </c>
      <c r="K118" s="197"/>
      <c r="L118" s="197"/>
      <c r="M118" s="197"/>
      <c r="N118" s="197"/>
      <c r="O118" s="197"/>
      <c r="P118" s="84">
        <f t="shared" ref="P118" si="26">AVERAGE(D118:I118)</f>
        <v>26460.187842676885</v>
      </c>
    </row>
    <row r="119" spans="2:18">
      <c r="B119" s="1"/>
    </row>
    <row r="120" spans="2:18">
      <c r="B120" s="8" t="s">
        <v>114</v>
      </c>
    </row>
    <row r="121" spans="2:18">
      <c r="B121" s="9"/>
      <c r="C121" s="9"/>
      <c r="D121" s="210"/>
      <c r="E121" s="210"/>
      <c r="F121" s="210"/>
      <c r="G121" s="210"/>
      <c r="H121" s="210"/>
      <c r="I121" s="210"/>
      <c r="J121" s="210"/>
      <c r="K121" s="210"/>
      <c r="L121" s="210"/>
      <c r="M121" s="210"/>
      <c r="N121" s="210"/>
      <c r="O121" s="210"/>
      <c r="P121" s="208" t="s">
        <v>81</v>
      </c>
    </row>
    <row r="122" spans="2:18">
      <c r="B122" s="66" t="s">
        <v>2</v>
      </c>
      <c r="C122" s="69" t="s">
        <v>82</v>
      </c>
      <c r="D122" s="209" t="s">
        <v>83</v>
      </c>
      <c r="E122" s="209" t="s">
        <v>84</v>
      </c>
      <c r="F122" s="209" t="s">
        <v>85</v>
      </c>
      <c r="G122" s="209" t="s">
        <v>86</v>
      </c>
      <c r="H122" s="209" t="s">
        <v>87</v>
      </c>
      <c r="I122" s="209" t="s">
        <v>88</v>
      </c>
      <c r="J122" s="209" t="s">
        <v>89</v>
      </c>
      <c r="K122" s="209" t="s">
        <v>90</v>
      </c>
      <c r="L122" s="209" t="s">
        <v>91</v>
      </c>
      <c r="M122" s="209" t="s">
        <v>92</v>
      </c>
      <c r="N122" s="209" t="s">
        <v>93</v>
      </c>
      <c r="O122" s="209" t="s">
        <v>94</v>
      </c>
      <c r="P122" s="209" t="s">
        <v>95</v>
      </c>
    </row>
    <row r="123" spans="2:18">
      <c r="B123" s="68">
        <v>1</v>
      </c>
      <c r="C123" s="78" t="s">
        <v>96</v>
      </c>
      <c r="D123" s="84">
        <f t="shared" ref="D123:J132" si="27">AVERAGE(D79,D101)</f>
        <v>23828.224759142235</v>
      </c>
      <c r="E123" s="84">
        <f t="shared" si="27"/>
        <v>23610.246707329679</v>
      </c>
      <c r="F123" s="84">
        <f t="shared" si="27"/>
        <v>23220.513977602655</v>
      </c>
      <c r="G123" s="84">
        <f t="shared" si="27"/>
        <v>20533.157620279359</v>
      </c>
      <c r="H123" s="84">
        <f t="shared" si="27"/>
        <v>20618.737662874872</v>
      </c>
      <c r="I123" s="84">
        <f t="shared" si="27"/>
        <v>20104.804599999999</v>
      </c>
      <c r="J123" s="84">
        <f t="shared" si="27"/>
        <v>20904.417119999998</v>
      </c>
      <c r="K123" s="197"/>
      <c r="L123" s="197"/>
      <c r="M123" s="197"/>
      <c r="N123" s="197"/>
      <c r="O123" s="197"/>
      <c r="P123" s="84">
        <f>AVERAGE(D123:I123)</f>
        <v>21985.947554538132</v>
      </c>
      <c r="R123"/>
    </row>
    <row r="124" spans="2:18">
      <c r="B124" s="68">
        <v>2</v>
      </c>
      <c r="C124" s="78" t="s">
        <v>97</v>
      </c>
      <c r="D124" s="84">
        <f t="shared" si="27"/>
        <v>1016.7862426188749</v>
      </c>
      <c r="E124" s="84">
        <f t="shared" si="27"/>
        <v>999.46492298149485</v>
      </c>
      <c r="F124" s="84">
        <f t="shared" si="27"/>
        <v>1049.48417669017</v>
      </c>
      <c r="G124" s="84">
        <f t="shared" si="27"/>
        <v>931.70021727884114</v>
      </c>
      <c r="H124" s="84">
        <f t="shared" si="27"/>
        <v>912.85398138572907</v>
      </c>
      <c r="I124" s="84">
        <f t="shared" si="27"/>
        <v>926.31539999999995</v>
      </c>
      <c r="J124" s="84">
        <f t="shared" si="27"/>
        <v>919.14524000000006</v>
      </c>
      <c r="K124" s="197"/>
      <c r="L124" s="197"/>
      <c r="M124" s="197"/>
      <c r="N124" s="197"/>
      <c r="O124" s="197"/>
      <c r="P124" s="84">
        <f t="shared" ref="P124:P140" si="28">AVERAGE(D124:I124)</f>
        <v>972.76749015918506</v>
      </c>
      <c r="R124"/>
    </row>
    <row r="125" spans="2:18">
      <c r="B125" s="68">
        <v>3</v>
      </c>
      <c r="C125" s="78" t="s">
        <v>98</v>
      </c>
      <c r="D125" s="84">
        <f t="shared" si="27"/>
        <v>1829.5554957008183</v>
      </c>
      <c r="E125" s="84">
        <f t="shared" si="27"/>
        <v>1895.5015403701022</v>
      </c>
      <c r="F125" s="84">
        <f t="shared" si="27"/>
        <v>2001.5419328079633</v>
      </c>
      <c r="G125" s="84">
        <f t="shared" si="27"/>
        <v>1649.4802690118986</v>
      </c>
      <c r="H125" s="84">
        <f t="shared" si="27"/>
        <v>1619.352037228542</v>
      </c>
      <c r="I125" s="84">
        <f t="shared" si="27"/>
        <v>1629.0871999999999</v>
      </c>
      <c r="J125" s="84">
        <f t="shared" si="27"/>
        <v>1778.5705600000001</v>
      </c>
      <c r="K125" s="197"/>
      <c r="L125" s="197"/>
      <c r="M125" s="197"/>
      <c r="N125" s="197"/>
      <c r="O125" s="197"/>
      <c r="P125" s="84">
        <f t="shared" si="28"/>
        <v>1770.753079186554</v>
      </c>
      <c r="R125"/>
    </row>
    <row r="126" spans="2:18">
      <c r="B126" s="68">
        <v>4</v>
      </c>
      <c r="C126" s="78" t="s">
        <v>99</v>
      </c>
      <c r="D126" s="84">
        <f t="shared" si="27"/>
        <v>901.51925826168031</v>
      </c>
      <c r="E126" s="84">
        <f t="shared" si="27"/>
        <v>929.24375064612832</v>
      </c>
      <c r="F126" s="84">
        <f t="shared" si="27"/>
        <v>984.42492741600995</v>
      </c>
      <c r="G126" s="84">
        <f t="shared" si="27"/>
        <v>803.39019141231256</v>
      </c>
      <c r="H126" s="84">
        <f t="shared" si="27"/>
        <v>767.67154084798347</v>
      </c>
      <c r="I126" s="84">
        <f t="shared" si="27"/>
        <v>801.06071999999995</v>
      </c>
      <c r="J126" s="84">
        <f t="shared" si="27"/>
        <v>837.77649999999994</v>
      </c>
      <c r="K126" s="197"/>
      <c r="L126" s="197"/>
      <c r="M126" s="197"/>
      <c r="N126" s="197"/>
      <c r="O126" s="197"/>
      <c r="P126" s="84">
        <f t="shared" si="28"/>
        <v>864.55173143068566</v>
      </c>
      <c r="R126"/>
    </row>
    <row r="127" spans="2:18">
      <c r="B127" s="68">
        <v>5</v>
      </c>
      <c r="C127" s="78" t="s">
        <v>100</v>
      </c>
      <c r="D127" s="84">
        <f t="shared" si="27"/>
        <v>515.81013156531651</v>
      </c>
      <c r="E127" s="84">
        <f t="shared" si="27"/>
        <v>521.44176573968775</v>
      </c>
      <c r="F127" s="84">
        <f t="shared" si="27"/>
        <v>527.76020323517207</v>
      </c>
      <c r="G127" s="84">
        <f t="shared" si="27"/>
        <v>512.43954474909469</v>
      </c>
      <c r="H127" s="84">
        <f t="shared" si="27"/>
        <v>521.49764219234748</v>
      </c>
      <c r="I127" s="84">
        <f t="shared" si="27"/>
        <v>505.14261999999997</v>
      </c>
      <c r="J127" s="84">
        <f t="shared" si="27"/>
        <v>524.41192000000001</v>
      </c>
      <c r="K127" s="197"/>
      <c r="L127" s="197"/>
      <c r="M127" s="197"/>
      <c r="N127" s="197"/>
      <c r="O127" s="197"/>
      <c r="P127" s="84">
        <f t="shared" si="28"/>
        <v>517.34865124693636</v>
      </c>
      <c r="R127"/>
    </row>
    <row r="128" spans="2:18">
      <c r="B128" s="68">
        <v>6</v>
      </c>
      <c r="C128" s="78" t="s">
        <v>101</v>
      </c>
      <c r="D128" s="84">
        <f t="shared" si="27"/>
        <v>11.342670672329845</v>
      </c>
      <c r="E128" s="84">
        <f t="shared" si="27"/>
        <v>11.113284399875942</v>
      </c>
      <c r="F128" s="84">
        <f t="shared" si="27"/>
        <v>10.918311903774367</v>
      </c>
      <c r="G128" s="84">
        <f t="shared" si="27"/>
        <v>9.247470253491981</v>
      </c>
      <c r="H128" s="84">
        <f t="shared" si="27"/>
        <v>8.9650465356773523</v>
      </c>
      <c r="I128" s="84">
        <f t="shared" si="27"/>
        <v>8.6784599999999994</v>
      </c>
      <c r="J128" s="84">
        <f t="shared" si="27"/>
        <v>9.1846600000000009</v>
      </c>
      <c r="K128" s="197"/>
      <c r="L128" s="197"/>
      <c r="M128" s="197"/>
      <c r="N128" s="197"/>
      <c r="O128" s="197"/>
      <c r="P128" s="84">
        <f t="shared" si="28"/>
        <v>10.044207294191581</v>
      </c>
      <c r="R128"/>
    </row>
    <row r="129" spans="2:18">
      <c r="B129" s="68">
        <v>7</v>
      </c>
      <c r="C129" s="78" t="s">
        <v>102</v>
      </c>
      <c r="D129" s="84">
        <f t="shared" si="27"/>
        <v>5.1511447218481301</v>
      </c>
      <c r="E129" s="84">
        <f t="shared" si="27"/>
        <v>5.3723353664840268</v>
      </c>
      <c r="F129" s="84">
        <f t="shared" si="27"/>
        <v>5.4382413936126088</v>
      </c>
      <c r="G129" s="84">
        <f t="shared" si="27"/>
        <v>4.6104293843766166</v>
      </c>
      <c r="H129" s="84">
        <f t="shared" si="27"/>
        <v>4.6387383660806618</v>
      </c>
      <c r="I129" s="84">
        <f t="shared" si="27"/>
        <v>4.8883599999999996</v>
      </c>
      <c r="J129" s="84">
        <f t="shared" si="27"/>
        <v>4.9005000000000001</v>
      </c>
      <c r="K129" s="197"/>
      <c r="L129" s="197"/>
      <c r="M129" s="197"/>
      <c r="N129" s="197"/>
      <c r="O129" s="197"/>
      <c r="P129" s="84">
        <f t="shared" si="28"/>
        <v>5.0165415387336738</v>
      </c>
      <c r="R129"/>
    </row>
    <row r="130" spans="2:18">
      <c r="B130" s="68">
        <v>8</v>
      </c>
      <c r="C130" s="78" t="s">
        <v>103</v>
      </c>
      <c r="D130" s="84">
        <f t="shared" si="27"/>
        <v>5.5478504091992118</v>
      </c>
      <c r="E130" s="84">
        <f t="shared" si="27"/>
        <v>5.6079189496536745</v>
      </c>
      <c r="F130" s="84">
        <f t="shared" si="27"/>
        <v>5.5273952716715051</v>
      </c>
      <c r="G130" s="84">
        <f t="shared" si="27"/>
        <v>4.6669632695292291</v>
      </c>
      <c r="H130" s="84">
        <f t="shared" si="27"/>
        <v>5.2978076525336091</v>
      </c>
      <c r="I130" s="84">
        <f t="shared" si="27"/>
        <v>8.0706799999999994</v>
      </c>
      <c r="J130" s="84">
        <f t="shared" si="27"/>
        <v>6.4957599999999998</v>
      </c>
      <c r="K130" s="197"/>
      <c r="L130" s="197"/>
      <c r="M130" s="197"/>
      <c r="N130" s="197"/>
      <c r="O130" s="197"/>
      <c r="P130" s="84">
        <f t="shared" si="28"/>
        <v>5.7864359254312054</v>
      </c>
      <c r="R130"/>
    </row>
    <row r="131" spans="2:18">
      <c r="B131" s="68">
        <v>9</v>
      </c>
      <c r="C131" s="78" t="s">
        <v>104</v>
      </c>
      <c r="D131" s="84">
        <f t="shared" si="27"/>
        <v>6.6255464622397184</v>
      </c>
      <c r="E131" s="84">
        <f t="shared" si="27"/>
        <v>7.5745477101209548</v>
      </c>
      <c r="F131" s="84">
        <f t="shared" si="27"/>
        <v>10.287183741186229</v>
      </c>
      <c r="G131" s="84">
        <f t="shared" si="27"/>
        <v>11.663404035178479</v>
      </c>
      <c r="H131" s="84">
        <f t="shared" si="27"/>
        <v>10.603123061013445</v>
      </c>
      <c r="I131" s="84">
        <f t="shared" si="27"/>
        <v>8.00718</v>
      </c>
      <c r="J131" s="84">
        <f t="shared" si="27"/>
        <v>10.591619999999999</v>
      </c>
      <c r="K131" s="197"/>
      <c r="L131" s="197"/>
      <c r="M131" s="197"/>
      <c r="N131" s="197"/>
      <c r="O131" s="197"/>
      <c r="P131" s="84">
        <f t="shared" si="28"/>
        <v>9.1268308349564702</v>
      </c>
      <c r="R131"/>
    </row>
    <row r="132" spans="2:18">
      <c r="B132" s="68">
        <v>10</v>
      </c>
      <c r="C132" s="78" t="s">
        <v>105</v>
      </c>
      <c r="D132" s="84">
        <f t="shared" si="27"/>
        <v>15.460064228737179</v>
      </c>
      <c r="E132" s="84">
        <f t="shared" si="27"/>
        <v>16.48009924532203</v>
      </c>
      <c r="F132" s="84">
        <f t="shared" si="27"/>
        <v>17.532559104106177</v>
      </c>
      <c r="G132" s="84">
        <f t="shared" si="27"/>
        <v>14.263010863942061</v>
      </c>
      <c r="H132" s="84">
        <f t="shared" si="27"/>
        <v>13.696794208893484</v>
      </c>
      <c r="I132" s="84">
        <f t="shared" si="27"/>
        <v>11.40976</v>
      </c>
      <c r="J132" s="84">
        <f t="shared" si="27"/>
        <v>13.4664</v>
      </c>
      <c r="K132" s="197"/>
      <c r="L132" s="197"/>
      <c r="M132" s="197"/>
      <c r="N132" s="197"/>
      <c r="O132" s="197"/>
      <c r="P132" s="84">
        <f t="shared" si="28"/>
        <v>14.807047941833488</v>
      </c>
      <c r="R132"/>
    </row>
    <row r="133" spans="2:18">
      <c r="B133" s="68">
        <v>11</v>
      </c>
      <c r="C133" s="78" t="s">
        <v>106</v>
      </c>
      <c r="D133" s="84">
        <f t="shared" ref="D133:J138" si="29">AVERAGE(D89,D111)</f>
        <v>11.055153838185021</v>
      </c>
      <c r="E133" s="84">
        <f t="shared" si="29"/>
        <v>11.020862193735137</v>
      </c>
      <c r="F133" s="84">
        <f t="shared" si="29"/>
        <v>10.145790128577353</v>
      </c>
      <c r="G133" s="84">
        <f t="shared" si="29"/>
        <v>7.4707915157785827</v>
      </c>
      <c r="H133" s="84">
        <f t="shared" si="29"/>
        <v>7.5459358841778688</v>
      </c>
      <c r="I133" s="84">
        <f t="shared" si="29"/>
        <v>4.4095199999999997</v>
      </c>
      <c r="J133" s="84">
        <f t="shared" si="29"/>
        <v>7.8853600000000004</v>
      </c>
      <c r="K133" s="197"/>
      <c r="L133" s="197"/>
      <c r="M133" s="197"/>
      <c r="N133" s="197"/>
      <c r="O133" s="197"/>
      <c r="P133" s="84">
        <f t="shared" si="28"/>
        <v>8.6080089267423272</v>
      </c>
      <c r="R133"/>
    </row>
    <row r="134" spans="2:18">
      <c r="B134" s="68">
        <v>12</v>
      </c>
      <c r="C134" s="78" t="s">
        <v>107</v>
      </c>
      <c r="D134" s="84">
        <f t="shared" si="29"/>
        <v>6.7290997617321038</v>
      </c>
      <c r="E134" s="84">
        <f t="shared" si="29"/>
        <v>6.7864364726558453</v>
      </c>
      <c r="F134" s="84">
        <f t="shared" si="29"/>
        <v>6.1101617586063872</v>
      </c>
      <c r="G134" s="84">
        <f t="shared" si="29"/>
        <v>5.0290946714950859</v>
      </c>
      <c r="H134" s="84">
        <f t="shared" si="29"/>
        <v>5.1818407445708381</v>
      </c>
      <c r="I134" s="84">
        <f t="shared" si="29"/>
        <v>5.2725200000000001</v>
      </c>
      <c r="J134" s="84">
        <f t="shared" si="29"/>
        <v>5.4996600000000004</v>
      </c>
      <c r="K134" s="197"/>
      <c r="L134" s="197"/>
      <c r="M134" s="197"/>
      <c r="N134" s="197"/>
      <c r="O134" s="197"/>
      <c r="P134" s="84">
        <f t="shared" si="28"/>
        <v>5.8515255681767089</v>
      </c>
      <c r="R134"/>
    </row>
    <row r="135" spans="2:18">
      <c r="B135" s="68">
        <v>13</v>
      </c>
      <c r="C135" s="78" t="s">
        <v>108</v>
      </c>
      <c r="D135" s="84">
        <f t="shared" si="29"/>
        <v>1.1105355847922924</v>
      </c>
      <c r="E135" s="84">
        <f t="shared" si="29"/>
        <v>0.91595161790551016</v>
      </c>
      <c r="F135" s="84">
        <f t="shared" si="29"/>
        <v>1.0929075072583991</v>
      </c>
      <c r="G135" s="84">
        <f t="shared" si="29"/>
        <v>1.0346611484738748</v>
      </c>
      <c r="H135" s="84">
        <f t="shared" si="29"/>
        <v>1.1106514994829368</v>
      </c>
      <c r="I135" s="84">
        <f t="shared" si="29"/>
        <v>7.0656000000000008</v>
      </c>
      <c r="J135" s="84">
        <f t="shared" si="29"/>
        <v>1.37</v>
      </c>
      <c r="K135" s="197"/>
      <c r="L135" s="197"/>
      <c r="M135" s="197"/>
      <c r="N135" s="197"/>
      <c r="O135" s="197"/>
      <c r="P135" s="84">
        <f t="shared" si="28"/>
        <v>2.0550512263188359</v>
      </c>
      <c r="R135"/>
    </row>
    <row r="136" spans="2:18">
      <c r="B136" s="68">
        <v>14</v>
      </c>
      <c r="C136" s="78" t="s">
        <v>109</v>
      </c>
      <c r="D136" s="84">
        <f t="shared" si="29"/>
        <v>0.70100486895265712</v>
      </c>
      <c r="E136" s="84">
        <f t="shared" si="29"/>
        <v>0.69211206450945939</v>
      </c>
      <c r="F136" s="84">
        <f t="shared" si="29"/>
        <v>0.67523849025300708</v>
      </c>
      <c r="G136" s="84">
        <f t="shared" si="29"/>
        <v>0.55559234350750131</v>
      </c>
      <c r="H136" s="84">
        <f t="shared" si="29"/>
        <v>0.56194415718717683</v>
      </c>
      <c r="I136" s="84">
        <f t="shared" si="29"/>
        <v>0.69690000000000007</v>
      </c>
      <c r="J136" s="84">
        <f t="shared" si="29"/>
        <v>0.57504</v>
      </c>
      <c r="K136" s="197"/>
      <c r="L136" s="197"/>
      <c r="M136" s="197"/>
      <c r="N136" s="197"/>
      <c r="O136" s="197"/>
      <c r="P136" s="84">
        <f t="shared" si="28"/>
        <v>0.64713198740163369</v>
      </c>
      <c r="R136"/>
    </row>
    <row r="137" spans="2:18">
      <c r="B137" s="68">
        <v>15</v>
      </c>
      <c r="C137" s="78" t="s">
        <v>110</v>
      </c>
      <c r="D137" s="84">
        <f t="shared" si="29"/>
        <v>28.527048585931837</v>
      </c>
      <c r="E137" s="84">
        <f t="shared" si="29"/>
        <v>31.857458906233845</v>
      </c>
      <c r="F137" s="84">
        <f t="shared" si="29"/>
        <v>32.383616756532561</v>
      </c>
      <c r="G137" s="84">
        <f t="shared" si="29"/>
        <v>23.127263321262287</v>
      </c>
      <c r="H137" s="84">
        <f t="shared" si="29"/>
        <v>25.001820062047571</v>
      </c>
      <c r="I137" s="84">
        <f t="shared" si="29"/>
        <v>31.282920000000001</v>
      </c>
      <c r="J137" s="84">
        <f t="shared" si="29"/>
        <v>26.906660000000002</v>
      </c>
      <c r="K137" s="197"/>
      <c r="L137" s="197"/>
      <c r="M137" s="197"/>
      <c r="N137" s="197"/>
      <c r="O137" s="197"/>
      <c r="P137" s="84">
        <f t="shared" si="28"/>
        <v>28.696687938668017</v>
      </c>
      <c r="R137"/>
    </row>
    <row r="138" spans="2:18">
      <c r="B138" s="68">
        <v>16</v>
      </c>
      <c r="C138" s="65" t="s">
        <v>111</v>
      </c>
      <c r="D138" s="84">
        <f t="shared" si="29"/>
        <v>0</v>
      </c>
      <c r="E138" s="84">
        <f t="shared" si="29"/>
        <v>0</v>
      </c>
      <c r="F138" s="84">
        <f t="shared" si="29"/>
        <v>0</v>
      </c>
      <c r="G138" s="84">
        <f t="shared" si="29"/>
        <v>15.053243662700464</v>
      </c>
      <c r="H138" s="84">
        <f t="shared" si="29"/>
        <v>15.13960703205791</v>
      </c>
      <c r="I138" s="84">
        <f t="shared" si="29"/>
        <v>15.56</v>
      </c>
      <c r="J138" s="84">
        <f t="shared" si="29"/>
        <v>14.919999999999998</v>
      </c>
      <c r="K138" s="197"/>
      <c r="L138" s="197"/>
      <c r="M138" s="197"/>
      <c r="N138" s="197"/>
      <c r="O138" s="197"/>
      <c r="P138" s="84">
        <f t="shared" si="28"/>
        <v>7.625475115793062</v>
      </c>
      <c r="R138"/>
    </row>
    <row r="139" spans="2:18">
      <c r="B139" s="68">
        <v>17</v>
      </c>
      <c r="C139" s="65" t="s">
        <v>112</v>
      </c>
      <c r="D139" s="84">
        <f t="shared" ref="D139:J139" si="30">AVERAGE(D95,D117)</f>
        <v>0</v>
      </c>
      <c r="E139" s="84">
        <f t="shared" si="30"/>
        <v>0</v>
      </c>
      <c r="F139" s="84">
        <f t="shared" si="30"/>
        <v>0</v>
      </c>
      <c r="G139" s="84">
        <f t="shared" si="30"/>
        <v>10.677703052250388</v>
      </c>
      <c r="H139" s="84">
        <f t="shared" si="30"/>
        <v>10.568769389865563</v>
      </c>
      <c r="I139" s="84">
        <f t="shared" si="30"/>
        <v>10.68</v>
      </c>
      <c r="J139" s="84">
        <f t="shared" si="30"/>
        <v>10.56</v>
      </c>
      <c r="K139" s="197"/>
      <c r="L139" s="197"/>
      <c r="M139" s="197"/>
      <c r="N139" s="197"/>
      <c r="O139" s="197"/>
      <c r="P139" s="84">
        <f t="shared" si="28"/>
        <v>5.3210787403526583</v>
      </c>
      <c r="R139"/>
    </row>
    <row r="140" spans="2:18">
      <c r="B140" s="68"/>
      <c r="C140" s="79" t="s">
        <v>95</v>
      </c>
      <c r="D140" s="198">
        <f>SUM(D123:D139)</f>
        <v>28184.146006422867</v>
      </c>
      <c r="E140" s="198">
        <f t="shared" ref="E140:J140" si="31">SUM(E123:E139)</f>
        <v>28053.319693993588</v>
      </c>
      <c r="F140" s="198">
        <f t="shared" si="31"/>
        <v>27883.836623807547</v>
      </c>
      <c r="G140" s="198">
        <f t="shared" si="31"/>
        <v>24537.567470253493</v>
      </c>
      <c r="H140" s="198">
        <f t="shared" si="31"/>
        <v>24548.42494312306</v>
      </c>
      <c r="I140" s="198">
        <f t="shared" si="31"/>
        <v>24082.43244</v>
      </c>
      <c r="J140" s="198">
        <f t="shared" si="31"/>
        <v>25076.677</v>
      </c>
      <c r="K140" s="197"/>
      <c r="L140" s="197"/>
      <c r="M140" s="197"/>
      <c r="N140" s="197"/>
      <c r="O140" s="197"/>
      <c r="P140" s="84">
        <f t="shared" si="28"/>
        <v>26214.954529600091</v>
      </c>
      <c r="R140"/>
    </row>
    <row r="141" spans="2:18">
      <c r="B141" s="1"/>
      <c r="R141"/>
    </row>
    <row r="142" spans="2:18">
      <c r="B142" s="1"/>
    </row>
    <row r="143" spans="2:18">
      <c r="B143" s="8" t="s">
        <v>116</v>
      </c>
    </row>
    <row r="144" spans="2:18">
      <c r="B144" s="8" t="s">
        <v>52</v>
      </c>
    </row>
    <row r="145" spans="2:16">
      <c r="B145" s="69" t="s">
        <v>2</v>
      </c>
      <c r="C145" s="69" t="s">
        <v>82</v>
      </c>
      <c r="D145" s="209" t="s">
        <v>83</v>
      </c>
      <c r="E145" s="209" t="s">
        <v>84</v>
      </c>
      <c r="F145" s="209" t="s">
        <v>85</v>
      </c>
      <c r="G145" s="209" t="s">
        <v>86</v>
      </c>
      <c r="H145" s="209" t="s">
        <v>87</v>
      </c>
      <c r="I145" s="209" t="s">
        <v>88</v>
      </c>
      <c r="J145" s="209" t="s">
        <v>89</v>
      </c>
      <c r="K145" s="209" t="s">
        <v>90</v>
      </c>
      <c r="L145" s="209" t="s">
        <v>91</v>
      </c>
      <c r="M145" s="209" t="s">
        <v>92</v>
      </c>
      <c r="N145" s="209" t="s">
        <v>93</v>
      </c>
      <c r="O145" s="209" t="s">
        <v>94</v>
      </c>
      <c r="P145" s="209" t="s">
        <v>95</v>
      </c>
    </row>
    <row r="146" spans="2:16">
      <c r="B146" s="70">
        <v>1</v>
      </c>
      <c r="C146" s="71" t="s">
        <v>96</v>
      </c>
      <c r="D146" s="84">
        <f>'POA Data'!F10</f>
        <v>852.77219024398914</v>
      </c>
      <c r="E146" s="84">
        <f>'POA Data'!G10</f>
        <v>913.66165022865368</v>
      </c>
      <c r="F146" s="84">
        <f>'POA Data'!H10</f>
        <v>1010.7232457143861</v>
      </c>
      <c r="G146" s="84">
        <f>'POA Data'!I10</f>
        <v>973.4609501602331</v>
      </c>
      <c r="H146" s="84">
        <f>'POA Data'!J10</f>
        <v>1005.586860574091</v>
      </c>
      <c r="I146" s="84">
        <f>'POA Data'!K10</f>
        <v>971.10660178566036</v>
      </c>
      <c r="J146" s="84">
        <f>'POA Data'!L10</f>
        <v>919.7522870465948</v>
      </c>
      <c r="K146" s="84">
        <f>'POA Data'!M10</f>
        <v>856.15109793393628</v>
      </c>
      <c r="L146" s="84">
        <f>'POA Data'!N10</f>
        <v>880.22631340019177</v>
      </c>
      <c r="M146" s="84">
        <f>'POA Data'!O10</f>
        <v>921.60190415168915</v>
      </c>
      <c r="N146" s="84">
        <f>'POA Data'!P10</f>
        <v>988.19382374359498</v>
      </c>
      <c r="O146" s="84">
        <f>'POA Data'!Q10</f>
        <v>1027.0079715613244</v>
      </c>
      <c r="P146" s="84">
        <f>AVERAGE(D146:O146)</f>
        <v>943.3537413786953</v>
      </c>
    </row>
    <row r="147" spans="2:16">
      <c r="B147" s="70">
        <v>2</v>
      </c>
      <c r="C147" s="71" t="s">
        <v>117</v>
      </c>
      <c r="D147" s="84" t="s">
        <v>59</v>
      </c>
      <c r="E147" s="84" t="s">
        <v>59</v>
      </c>
      <c r="F147" s="84" t="s">
        <v>59</v>
      </c>
      <c r="G147" s="84" t="s">
        <v>59</v>
      </c>
      <c r="H147" s="84" t="s">
        <v>59</v>
      </c>
      <c r="I147" s="84" t="s">
        <v>59</v>
      </c>
      <c r="J147" s="84" t="s">
        <v>59</v>
      </c>
      <c r="K147" s="84" t="s">
        <v>59</v>
      </c>
      <c r="L147" s="84" t="s">
        <v>59</v>
      </c>
      <c r="M147" s="84" t="s">
        <v>59</v>
      </c>
      <c r="N147" s="84" t="s">
        <v>59</v>
      </c>
      <c r="O147" s="84" t="s">
        <v>59</v>
      </c>
      <c r="P147" s="84" t="s">
        <v>59</v>
      </c>
    </row>
    <row r="148" spans="2:16">
      <c r="B148" s="68">
        <v>3</v>
      </c>
      <c r="C148" s="65" t="s">
        <v>118</v>
      </c>
      <c r="D148" s="84" t="s">
        <v>59</v>
      </c>
      <c r="E148" s="84" t="s">
        <v>59</v>
      </c>
      <c r="F148" s="84" t="s">
        <v>59</v>
      </c>
      <c r="G148" s="84" t="s">
        <v>59</v>
      </c>
      <c r="H148" s="84" t="s">
        <v>59</v>
      </c>
      <c r="I148" s="84" t="s">
        <v>59</v>
      </c>
      <c r="J148" s="84" t="s">
        <v>59</v>
      </c>
      <c r="K148" s="84" t="s">
        <v>59</v>
      </c>
      <c r="L148" s="84" t="s">
        <v>59</v>
      </c>
      <c r="M148" s="84" t="s">
        <v>59</v>
      </c>
      <c r="N148" s="84" t="s">
        <v>59</v>
      </c>
      <c r="O148" s="84" t="s">
        <v>59</v>
      </c>
      <c r="P148" s="84" t="s">
        <v>59</v>
      </c>
    </row>
    <row r="149" spans="2:16">
      <c r="B149" s="68"/>
      <c r="C149" s="65"/>
      <c r="D149" s="84"/>
      <c r="E149" s="84"/>
      <c r="F149" s="84"/>
      <c r="G149" s="84"/>
      <c r="H149" s="84"/>
      <c r="I149" s="84"/>
      <c r="J149" s="84"/>
      <c r="K149" s="84"/>
      <c r="L149" s="84"/>
      <c r="M149" s="84"/>
      <c r="N149" s="84"/>
      <c r="O149" s="84"/>
      <c r="P149" s="84"/>
    </row>
    <row r="150" spans="2:16">
      <c r="B150" s="234"/>
      <c r="C150" s="235"/>
      <c r="D150" s="212"/>
      <c r="E150" s="212"/>
      <c r="F150" s="212"/>
      <c r="G150" s="212"/>
      <c r="H150" s="212"/>
      <c r="I150" s="212"/>
      <c r="J150" s="212"/>
      <c r="K150" s="212"/>
      <c r="L150" s="212"/>
      <c r="M150" s="212"/>
      <c r="N150" s="212"/>
      <c r="O150" s="212"/>
      <c r="P150" s="212"/>
    </row>
    <row r="151" spans="2:16">
      <c r="B151" s="8" t="s">
        <v>51</v>
      </c>
    </row>
    <row r="152" spans="2:16">
      <c r="B152" s="69" t="s">
        <v>2</v>
      </c>
      <c r="C152" s="69" t="s">
        <v>82</v>
      </c>
      <c r="D152" s="209" t="s">
        <v>83</v>
      </c>
      <c r="E152" s="209" t="s">
        <v>84</v>
      </c>
      <c r="F152" s="209" t="s">
        <v>85</v>
      </c>
      <c r="G152" s="209" t="s">
        <v>86</v>
      </c>
      <c r="H152" s="209" t="s">
        <v>87</v>
      </c>
      <c r="I152" s="209" t="s">
        <v>88</v>
      </c>
      <c r="J152" s="209" t="s">
        <v>89</v>
      </c>
      <c r="K152" s="209" t="s">
        <v>90</v>
      </c>
      <c r="L152" s="209" t="s">
        <v>91</v>
      </c>
      <c r="M152" s="209" t="s">
        <v>92</v>
      </c>
      <c r="N152" s="209" t="s">
        <v>93</v>
      </c>
      <c r="O152" s="209" t="s">
        <v>94</v>
      </c>
      <c r="P152" s="209" t="s">
        <v>95</v>
      </c>
    </row>
    <row r="153" spans="2:16">
      <c r="B153" s="70">
        <v>1</v>
      </c>
      <c r="C153" s="71" t="s">
        <v>96</v>
      </c>
      <c r="D153" s="84">
        <f>'POA Data'!F9</f>
        <v>775.82064027777778</v>
      </c>
      <c r="E153" s="84">
        <f>'POA Data'!G9</f>
        <v>863.799701612901</v>
      </c>
      <c r="F153" s="84">
        <f>'POA Data'!H9</f>
        <v>811.07439444444412</v>
      </c>
      <c r="G153" s="84">
        <f>'POA Data'!I9</f>
        <v>808.52997983871035</v>
      </c>
      <c r="H153" s="84">
        <f>'POA Data'!J9</f>
        <v>829.63654973118253</v>
      </c>
      <c r="I153" s="84">
        <f>'POA Data'!K9</f>
        <v>743.9153263888885</v>
      </c>
      <c r="J153" s="84">
        <f>'POA Data'!L9</f>
        <v>733.19727150537642</v>
      </c>
      <c r="K153" s="84">
        <f>'POA Data'!M9</f>
        <v>704.33740833333343</v>
      </c>
      <c r="L153" s="84">
        <f>'POA Data'!N9</f>
        <v>707.53410887096879</v>
      </c>
      <c r="M153" s="84">
        <v>921.60190415168915</v>
      </c>
      <c r="N153" s="84">
        <v>988.19382374359498</v>
      </c>
      <c r="O153" s="84">
        <v>1027.0079715613244</v>
      </c>
      <c r="P153" s="84">
        <f>AVERAGE(D153:O153)</f>
        <v>826.2207567050159</v>
      </c>
    </row>
    <row r="154" spans="2:16">
      <c r="B154" s="70">
        <v>2</v>
      </c>
      <c r="C154" s="71" t="s">
        <v>117</v>
      </c>
      <c r="D154" s="84" t="s">
        <v>59</v>
      </c>
      <c r="E154" s="84" t="s">
        <v>59</v>
      </c>
      <c r="F154" s="84" t="s">
        <v>59</v>
      </c>
      <c r="G154" s="84" t="s">
        <v>59</v>
      </c>
      <c r="H154" s="84" t="s">
        <v>59</v>
      </c>
      <c r="I154" s="84" t="s">
        <v>59</v>
      </c>
      <c r="J154" s="84" t="s">
        <v>59</v>
      </c>
      <c r="K154" s="84" t="s">
        <v>59</v>
      </c>
      <c r="L154" s="84" t="s">
        <v>59</v>
      </c>
      <c r="M154" s="84" t="s">
        <v>59</v>
      </c>
      <c r="N154" s="84" t="s">
        <v>59</v>
      </c>
      <c r="O154" s="84" t="s">
        <v>59</v>
      </c>
      <c r="P154" s="84" t="s">
        <v>59</v>
      </c>
    </row>
    <row r="155" spans="2:16">
      <c r="B155" s="68">
        <v>3</v>
      </c>
      <c r="C155" s="65" t="s">
        <v>118</v>
      </c>
      <c r="D155" s="84" t="s">
        <v>59</v>
      </c>
      <c r="E155" s="84" t="s">
        <v>59</v>
      </c>
      <c r="F155" s="84" t="s">
        <v>59</v>
      </c>
      <c r="G155" s="84" t="s">
        <v>59</v>
      </c>
      <c r="H155" s="84" t="s">
        <v>59</v>
      </c>
      <c r="I155" s="84" t="s">
        <v>59</v>
      </c>
      <c r="J155" s="84" t="s">
        <v>59</v>
      </c>
      <c r="K155" s="84" t="s">
        <v>59</v>
      </c>
      <c r="L155" s="84" t="s">
        <v>59</v>
      </c>
      <c r="M155" s="84" t="s">
        <v>59</v>
      </c>
      <c r="N155" s="84" t="s">
        <v>59</v>
      </c>
      <c r="O155" s="84" t="s">
        <v>59</v>
      </c>
      <c r="P155" s="84" t="s">
        <v>59</v>
      </c>
    </row>
    <row r="156" spans="2:16">
      <c r="B156" s="68"/>
      <c r="C156" s="65"/>
      <c r="D156" s="84"/>
      <c r="E156" s="84"/>
      <c r="F156" s="84"/>
      <c r="G156" s="84"/>
      <c r="H156" s="84"/>
      <c r="I156" s="84"/>
      <c r="J156" s="84"/>
      <c r="K156" s="84"/>
      <c r="L156" s="84"/>
      <c r="M156" s="84"/>
      <c r="N156" s="84"/>
      <c r="O156" s="84"/>
      <c r="P156" s="84"/>
    </row>
    <row r="157" spans="2:16">
      <c r="B157" s="234"/>
      <c r="C157" s="235"/>
      <c r="D157" s="212"/>
      <c r="E157" s="212"/>
      <c r="F157" s="212"/>
      <c r="G157" s="212"/>
      <c r="H157" s="212"/>
      <c r="I157" s="212"/>
      <c r="J157" s="212"/>
      <c r="K157" s="212"/>
      <c r="L157" s="212"/>
      <c r="M157" s="212"/>
      <c r="N157" s="212"/>
      <c r="O157" s="212"/>
      <c r="P157" s="212"/>
    </row>
    <row r="158" spans="2:16">
      <c r="B158" s="8" t="s">
        <v>119</v>
      </c>
    </row>
    <row r="159" spans="2:16">
      <c r="B159" s="69" t="s">
        <v>2</v>
      </c>
      <c r="C159" s="69" t="s">
        <v>82</v>
      </c>
      <c r="D159" s="209" t="s">
        <v>83</v>
      </c>
      <c r="E159" s="209" t="s">
        <v>84</v>
      </c>
      <c r="F159" s="209" t="s">
        <v>85</v>
      </c>
      <c r="G159" s="209" t="s">
        <v>86</v>
      </c>
      <c r="H159" s="209" t="s">
        <v>87</v>
      </c>
      <c r="I159" s="209" t="s">
        <v>88</v>
      </c>
      <c r="J159" s="209" t="s">
        <v>89</v>
      </c>
      <c r="K159" s="209" t="s">
        <v>90</v>
      </c>
      <c r="L159" s="209" t="s">
        <v>91</v>
      </c>
      <c r="M159" s="209" t="s">
        <v>92</v>
      </c>
      <c r="N159" s="209" t="s">
        <v>93</v>
      </c>
      <c r="O159" s="209" t="s">
        <v>94</v>
      </c>
      <c r="P159" s="209" t="s">
        <v>95</v>
      </c>
    </row>
    <row r="160" spans="2:16">
      <c r="B160" s="70">
        <v>1</v>
      </c>
      <c r="C160" s="71" t="s">
        <v>96</v>
      </c>
      <c r="D160" s="84">
        <f>'POA Data'!F8</f>
        <v>627.11664444444466</v>
      </c>
      <c r="E160" s="84">
        <f>'POA Data'!G8</f>
        <v>686.7553803763451</v>
      </c>
      <c r="F160" s="84">
        <f>'POA Data'!H8</f>
        <v>718.78583888888909</v>
      </c>
      <c r="G160" s="84">
        <f>'POA Data'!I8</f>
        <v>704.0904489247315</v>
      </c>
      <c r="H160" s="84">
        <f>'POA Data'!J8</f>
        <v>696.42817338709665</v>
      </c>
      <c r="I160" s="84">
        <f>'POA Data'!K8</f>
        <v>657.51001527778033</v>
      </c>
      <c r="J160" s="84">
        <f>'POA Data'!L8</f>
        <v>634.07630645161339</v>
      </c>
      <c r="K160" s="84">
        <f>'POA Data'!M8</f>
        <v>650.29734027777806</v>
      </c>
      <c r="L160" s="84">
        <f>'POA Data'!N8</f>
        <v>639.33664381720439</v>
      </c>
      <c r="M160" s="84">
        <f>'POA Data'!O8</f>
        <v>696.90253494623539</v>
      </c>
      <c r="N160" s="84">
        <f>'POA Data'!P8</f>
        <v>742.84562946428616</v>
      </c>
      <c r="O160" s="84">
        <f>'POA Data'!Q8</f>
        <v>755.51563306451521</v>
      </c>
      <c r="P160" s="84">
        <f>AVERAGE(D160:O160)</f>
        <v>684.13838244341002</v>
      </c>
    </row>
    <row r="161" spans="2:16">
      <c r="B161" s="70">
        <v>2</v>
      </c>
      <c r="C161" s="71" t="s">
        <v>117</v>
      </c>
      <c r="D161" s="84" t="s">
        <v>59</v>
      </c>
      <c r="E161" s="84" t="s">
        <v>59</v>
      </c>
      <c r="F161" s="84" t="s">
        <v>59</v>
      </c>
      <c r="G161" s="84" t="s">
        <v>59</v>
      </c>
      <c r="H161" s="84" t="s">
        <v>59</v>
      </c>
      <c r="I161" s="84" t="s">
        <v>59</v>
      </c>
      <c r="J161" s="84" t="s">
        <v>59</v>
      </c>
      <c r="K161" s="84" t="s">
        <v>59</v>
      </c>
      <c r="L161" s="84" t="s">
        <v>59</v>
      </c>
      <c r="M161" s="84" t="s">
        <v>59</v>
      </c>
      <c r="N161" s="84" t="s">
        <v>59</v>
      </c>
      <c r="O161" s="84" t="s">
        <v>59</v>
      </c>
      <c r="P161" s="84" t="s">
        <v>59</v>
      </c>
    </row>
    <row r="162" spans="2:16">
      <c r="B162" s="68">
        <v>3</v>
      </c>
      <c r="C162" s="65" t="s">
        <v>118</v>
      </c>
      <c r="D162" s="84" t="s">
        <v>59</v>
      </c>
      <c r="E162" s="84" t="s">
        <v>59</v>
      </c>
      <c r="F162" s="84" t="s">
        <v>59</v>
      </c>
      <c r="G162" s="84" t="s">
        <v>59</v>
      </c>
      <c r="H162" s="84" t="s">
        <v>59</v>
      </c>
      <c r="I162" s="84" t="s">
        <v>59</v>
      </c>
      <c r="J162" s="84" t="s">
        <v>59</v>
      </c>
      <c r="K162" s="84" t="s">
        <v>59</v>
      </c>
      <c r="L162" s="84" t="s">
        <v>59</v>
      </c>
      <c r="M162" s="84" t="s">
        <v>59</v>
      </c>
      <c r="N162" s="84" t="s">
        <v>59</v>
      </c>
      <c r="O162" s="84" t="s">
        <v>59</v>
      </c>
      <c r="P162" s="84" t="s">
        <v>59</v>
      </c>
    </row>
    <row r="163" spans="2:16">
      <c r="B163" s="68"/>
      <c r="C163" s="65"/>
      <c r="D163" s="84"/>
      <c r="E163" s="84"/>
      <c r="F163" s="84"/>
      <c r="G163" s="84"/>
      <c r="H163" s="84"/>
      <c r="I163" s="84"/>
      <c r="J163" s="84"/>
      <c r="K163" s="84"/>
      <c r="L163" s="84"/>
      <c r="M163" s="84"/>
      <c r="N163" s="84"/>
      <c r="O163" s="84"/>
      <c r="P163" s="84"/>
    </row>
    <row r="164" spans="2:16">
      <c r="B164" s="234"/>
      <c r="C164" s="235"/>
      <c r="D164" s="212"/>
      <c r="E164" s="212"/>
      <c r="F164" s="212"/>
      <c r="G164" s="212"/>
      <c r="H164" s="212"/>
      <c r="I164" s="212"/>
      <c r="J164" s="212"/>
      <c r="K164" s="212"/>
      <c r="L164" s="212"/>
      <c r="M164" s="212"/>
      <c r="N164" s="212"/>
      <c r="O164" s="212"/>
      <c r="P164" s="212"/>
    </row>
    <row r="165" spans="2:16">
      <c r="B165" s="8" t="s">
        <v>120</v>
      </c>
    </row>
    <row r="166" spans="2:16">
      <c r="B166" s="69" t="s">
        <v>2</v>
      </c>
      <c r="C166" s="69" t="s">
        <v>82</v>
      </c>
      <c r="D166" s="209" t="s">
        <v>83</v>
      </c>
      <c r="E166" s="209" t="s">
        <v>84</v>
      </c>
      <c r="F166" s="209" t="s">
        <v>85</v>
      </c>
      <c r="G166" s="209" t="s">
        <v>86</v>
      </c>
      <c r="H166" s="209" t="s">
        <v>87</v>
      </c>
      <c r="I166" s="209" t="s">
        <v>88</v>
      </c>
      <c r="J166" s="209" t="s">
        <v>89</v>
      </c>
      <c r="K166" s="209" t="s">
        <v>90</v>
      </c>
      <c r="L166" s="209" t="s">
        <v>91</v>
      </c>
      <c r="M166" s="209" t="s">
        <v>92</v>
      </c>
      <c r="N166" s="209" t="s">
        <v>93</v>
      </c>
      <c r="O166" s="209" t="s">
        <v>94</v>
      </c>
      <c r="P166" s="209" t="s">
        <v>95</v>
      </c>
    </row>
    <row r="167" spans="2:16">
      <c r="B167" s="70">
        <v>1</v>
      </c>
      <c r="C167" s="71" t="s">
        <v>96</v>
      </c>
      <c r="D167" s="84">
        <f>'POA Data'!F7</f>
        <v>332.0946166666667</v>
      </c>
      <c r="E167" s="84">
        <f>'POA Data'!G7</f>
        <v>471.05530510752658</v>
      </c>
      <c r="F167" s="84">
        <f>'POA Data'!H7</f>
        <v>511.48245972222242</v>
      </c>
      <c r="G167" s="84">
        <f>'POA Data'!I7</f>
        <v>550.85862096774201</v>
      </c>
      <c r="H167" s="84">
        <f>'POA Data'!J7</f>
        <v>603.18396639784828</v>
      </c>
      <c r="I167" s="84">
        <f>'POA Data'!K7</f>
        <v>531.37996527777841</v>
      </c>
      <c r="J167" s="84">
        <f>'POA Data'!L7</f>
        <v>519.48905913978535</v>
      </c>
      <c r="K167" s="84">
        <f>'POA Data'!M7</f>
        <v>550.92104583333457</v>
      </c>
      <c r="L167" s="84">
        <f>'POA Data'!N7</f>
        <v>552.40211559139834</v>
      </c>
      <c r="M167" s="84">
        <f>'POA Data'!O7</f>
        <v>550.25232526881712</v>
      </c>
      <c r="N167" s="84">
        <f>'POA Data'!P7</f>
        <v>584.83206845238078</v>
      </c>
      <c r="O167" s="84">
        <f>'POA Data'!Q7</f>
        <v>603.28949059139802</v>
      </c>
      <c r="P167" s="84">
        <f>AVERAGE(D167:O167)</f>
        <v>530.10341991807479</v>
      </c>
    </row>
    <row r="168" spans="2:16">
      <c r="B168" s="70">
        <v>2</v>
      </c>
      <c r="C168" s="71" t="s">
        <v>117</v>
      </c>
      <c r="D168" s="84" t="s">
        <v>59</v>
      </c>
      <c r="E168" s="84" t="s">
        <v>59</v>
      </c>
      <c r="F168" s="84" t="s">
        <v>59</v>
      </c>
      <c r="G168" s="84" t="s">
        <v>59</v>
      </c>
      <c r="H168" s="84" t="s">
        <v>59</v>
      </c>
      <c r="I168" s="84" t="s">
        <v>59</v>
      </c>
      <c r="J168" s="84" t="s">
        <v>59</v>
      </c>
      <c r="K168" s="84" t="s">
        <v>59</v>
      </c>
      <c r="L168" s="84" t="s">
        <v>59</v>
      </c>
      <c r="M168" s="84" t="s">
        <v>59</v>
      </c>
      <c r="N168" s="84" t="s">
        <v>59</v>
      </c>
      <c r="O168" s="84" t="s">
        <v>59</v>
      </c>
      <c r="P168" s="84" t="s">
        <v>59</v>
      </c>
    </row>
    <row r="169" spans="2:16">
      <c r="B169" s="68">
        <v>3</v>
      </c>
      <c r="C169" s="65" t="s">
        <v>118</v>
      </c>
      <c r="D169" s="84" t="s">
        <v>59</v>
      </c>
      <c r="E169" s="84" t="s">
        <v>59</v>
      </c>
      <c r="F169" s="84" t="s">
        <v>59</v>
      </c>
      <c r="G169" s="84" t="s">
        <v>59</v>
      </c>
      <c r="H169" s="84" t="s">
        <v>59</v>
      </c>
      <c r="I169" s="84" t="s">
        <v>59</v>
      </c>
      <c r="J169" s="84" t="s">
        <v>59</v>
      </c>
      <c r="K169" s="84" t="s">
        <v>59</v>
      </c>
      <c r="L169" s="84" t="s">
        <v>59</v>
      </c>
      <c r="M169" s="84" t="s">
        <v>59</v>
      </c>
      <c r="N169" s="84" t="s">
        <v>59</v>
      </c>
      <c r="O169" s="84" t="s">
        <v>59</v>
      </c>
      <c r="P169" s="84" t="s">
        <v>59</v>
      </c>
    </row>
    <row r="170" spans="2:16">
      <c r="B170" s="68"/>
      <c r="C170" s="65"/>
      <c r="D170" s="84"/>
      <c r="E170" s="84"/>
      <c r="F170" s="84"/>
      <c r="G170" s="84"/>
      <c r="H170" s="84"/>
      <c r="I170" s="84"/>
      <c r="J170" s="84"/>
      <c r="K170" s="84"/>
      <c r="L170" s="84"/>
      <c r="M170" s="84"/>
      <c r="N170" s="84"/>
      <c r="O170" s="84"/>
      <c r="P170" s="84"/>
    </row>
    <row r="171" spans="2:16">
      <c r="B171" s="237" t="s">
        <v>121</v>
      </c>
      <c r="D171" s="212"/>
      <c r="E171" s="212"/>
      <c r="F171" s="212"/>
      <c r="G171" s="212"/>
      <c r="H171" s="212"/>
      <c r="I171" s="212"/>
      <c r="J171" s="212"/>
      <c r="K171" s="212"/>
      <c r="L171" s="212"/>
      <c r="M171" s="212"/>
      <c r="N171" s="212"/>
      <c r="O171" s="212"/>
      <c r="P171" s="212"/>
    </row>
    <row r="172" spans="2:16">
      <c r="B172" s="238" t="s">
        <v>122</v>
      </c>
      <c r="D172" s="236"/>
      <c r="E172" s="236"/>
      <c r="F172" s="236"/>
      <c r="G172" s="236"/>
      <c r="H172" s="236"/>
      <c r="I172" s="236"/>
      <c r="J172" s="236"/>
      <c r="K172" s="236"/>
      <c r="L172" s="236"/>
      <c r="M172" s="236"/>
      <c r="N172" s="236"/>
      <c r="O172" s="236"/>
      <c r="P172" s="236"/>
    </row>
    <row r="173" spans="2:16">
      <c r="D173" s="212"/>
      <c r="E173" s="212"/>
      <c r="F173" s="212"/>
      <c r="G173" s="212"/>
      <c r="H173" s="212"/>
      <c r="I173" s="212"/>
      <c r="J173" s="212"/>
      <c r="K173" s="212"/>
      <c r="L173" s="212"/>
      <c r="M173" s="212"/>
      <c r="N173" s="212"/>
      <c r="O173" s="212"/>
      <c r="P173" s="212"/>
    </row>
    <row r="174" spans="2:16">
      <c r="B174" s="1"/>
    </row>
    <row r="175" spans="2:16">
      <c r="B175" s="8" t="s">
        <v>123</v>
      </c>
    </row>
    <row r="176" spans="2:16">
      <c r="B176" s="50" t="s">
        <v>2</v>
      </c>
      <c r="C176" s="50" t="s">
        <v>82</v>
      </c>
      <c r="D176" s="213" t="s">
        <v>26</v>
      </c>
      <c r="E176" s="214" t="s">
        <v>27</v>
      </c>
      <c r="F176" s="214" t="s">
        <v>28</v>
      </c>
      <c r="G176" s="214" t="s">
        <v>29</v>
      </c>
      <c r="H176" s="214" t="s">
        <v>30</v>
      </c>
    </row>
    <row r="177" spans="2:8">
      <c r="B177" s="70">
        <v>1</v>
      </c>
      <c r="C177" s="71" t="s">
        <v>96</v>
      </c>
      <c r="D177" s="84">
        <f>'POA Data'!V5</f>
        <v>1030.4971688054461</v>
      </c>
      <c r="E177" s="84">
        <f>'POA Data'!W5</f>
        <v>1248.7767173626007</v>
      </c>
      <c r="F177" s="84">
        <f>'POA Data'!X5</f>
        <v>1513.2921632716582</v>
      </c>
      <c r="G177" s="84">
        <f>'POA Data'!Y5</f>
        <v>1833.8371780793414</v>
      </c>
      <c r="H177" s="84">
        <f>'POA Data'!Z5</f>
        <v>2222.2799254014913</v>
      </c>
    </row>
    <row r="178" spans="2:8">
      <c r="B178" s="70">
        <v>2</v>
      </c>
      <c r="C178" s="71" t="s">
        <v>117</v>
      </c>
      <c r="D178" s="84" t="s">
        <v>124</v>
      </c>
      <c r="E178" s="84" t="s">
        <v>124</v>
      </c>
      <c r="F178" s="84" t="s">
        <v>124</v>
      </c>
      <c r="G178" s="84" t="s">
        <v>124</v>
      </c>
      <c r="H178" s="84" t="s">
        <v>124</v>
      </c>
    </row>
    <row r="179" spans="2:8">
      <c r="B179" s="68">
        <v>3</v>
      </c>
      <c r="C179" s="65" t="s">
        <v>125</v>
      </c>
      <c r="D179" s="84" t="s">
        <v>124</v>
      </c>
      <c r="E179" s="84" t="s">
        <v>124</v>
      </c>
      <c r="F179" s="84" t="s">
        <v>124</v>
      </c>
      <c r="G179" s="84" t="s">
        <v>124</v>
      </c>
      <c r="H179" s="84" t="s">
        <v>124</v>
      </c>
    </row>
    <row r="180" spans="2:8">
      <c r="B180" s="68"/>
      <c r="C180" s="65"/>
      <c r="D180" s="199"/>
      <c r="E180" s="199"/>
      <c r="F180" s="199"/>
      <c r="G180" s="199"/>
      <c r="H180" s="199"/>
    </row>
    <row r="181" spans="2:8">
      <c r="B181" s="72" t="s">
        <v>126</v>
      </c>
    </row>
    <row r="182" spans="2:8">
      <c r="B182" s="1"/>
    </row>
    <row r="183" spans="2:8">
      <c r="B183" s="1"/>
    </row>
    <row r="184" spans="2:8">
      <c r="B184" s="1"/>
    </row>
    <row r="185" spans="2:8">
      <c r="B185" s="1"/>
    </row>
    <row r="186" spans="2:8">
      <c r="B186" s="1"/>
    </row>
  </sheetData>
  <mergeCells count="3">
    <mergeCell ref="B4:O4"/>
    <mergeCell ref="B2:O2"/>
    <mergeCell ref="B3:O3"/>
  </mergeCells>
  <phoneticPr fontId="16" type="noConversion"/>
  <pageMargins left="0.75" right="0.75" top="1" bottom="1" header="0.5" footer="0.5"/>
  <pageSetup paperSize="9" scale="2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4423-58FE-499D-8BEF-7F40346C86C1}">
  <dimension ref="E3:Z22"/>
  <sheetViews>
    <sheetView topLeftCell="C1" zoomScale="84" zoomScaleNormal="100" workbookViewId="0">
      <selection activeCell="R7" sqref="R7"/>
    </sheetView>
  </sheetViews>
  <sheetFormatPr defaultColWidth="8.85546875" defaultRowHeight="14.45"/>
  <cols>
    <col min="1" max="19" width="8.85546875" style="224"/>
    <col min="20" max="21" width="27.7109375" style="224" bestFit="1" customWidth="1"/>
    <col min="22" max="16384" width="8.85546875" style="224"/>
  </cols>
  <sheetData>
    <row r="3" spans="5:26">
      <c r="V3" s="239" t="s">
        <v>127</v>
      </c>
    </row>
    <row r="4" spans="5:26">
      <c r="L4" s="229">
        <f>AVERAGE(L7:L10)</f>
        <v>701.62873103584252</v>
      </c>
      <c r="V4" s="240" t="s">
        <v>128</v>
      </c>
      <c r="W4" s="240" t="s">
        <v>129</v>
      </c>
      <c r="X4" s="240" t="s">
        <v>130</v>
      </c>
      <c r="Y4" s="240" t="s">
        <v>131</v>
      </c>
      <c r="Z4" s="240" t="s">
        <v>132</v>
      </c>
    </row>
    <row r="5" spans="5:26">
      <c r="E5" s="413" t="s">
        <v>96</v>
      </c>
      <c r="F5" s="413"/>
      <c r="G5" s="413"/>
      <c r="H5" s="413"/>
      <c r="I5" s="413"/>
      <c r="J5" s="413"/>
      <c r="K5" s="413"/>
      <c r="L5" s="413"/>
      <c r="M5" s="413"/>
      <c r="N5" s="413"/>
      <c r="O5" s="413"/>
      <c r="P5" s="413"/>
      <c r="Q5" s="413"/>
      <c r="R5" s="413"/>
      <c r="V5" s="227">
        <f>AVERAGE(M10:Q10,F11:L11)</f>
        <v>1030.4971688054461</v>
      </c>
      <c r="W5" s="226">
        <f>V5*$R$12+V5</f>
        <v>1248.7767173626007</v>
      </c>
      <c r="X5" s="226">
        <f>W5*$R$12+W5</f>
        <v>1513.2921632716582</v>
      </c>
      <c r="Y5" s="226">
        <f t="shared" ref="Y5:Z5" si="0">X5*$R$12+X5</f>
        <v>1833.8371780793414</v>
      </c>
      <c r="Z5" s="226">
        <f t="shared" si="0"/>
        <v>2222.2799254014913</v>
      </c>
    </row>
    <row r="6" spans="5:26">
      <c r="E6" s="225"/>
      <c r="F6" s="225" t="s">
        <v>133</v>
      </c>
      <c r="G6" s="225" t="s">
        <v>84</v>
      </c>
      <c r="H6" s="225" t="s">
        <v>134</v>
      </c>
      <c r="I6" s="225" t="s">
        <v>135</v>
      </c>
      <c r="J6" s="225" t="s">
        <v>87</v>
      </c>
      <c r="K6" s="225" t="s">
        <v>136</v>
      </c>
      <c r="L6" s="225" t="s">
        <v>137</v>
      </c>
      <c r="M6" s="225" t="s">
        <v>90</v>
      </c>
      <c r="N6" s="225" t="s">
        <v>91</v>
      </c>
      <c r="O6" s="225" t="s">
        <v>92</v>
      </c>
      <c r="P6" s="225" t="s">
        <v>93</v>
      </c>
      <c r="Q6" s="225" t="s">
        <v>94</v>
      </c>
      <c r="R6" s="225" t="s">
        <v>138</v>
      </c>
    </row>
    <row r="7" spans="5:26">
      <c r="E7" s="226" t="s">
        <v>139</v>
      </c>
      <c r="F7" s="227">
        <v>332.0946166666667</v>
      </c>
      <c r="G7" s="227">
        <v>471.05530510752658</v>
      </c>
      <c r="H7" s="227">
        <v>511.48245972222242</v>
      </c>
      <c r="I7" s="227">
        <v>550.85862096774201</v>
      </c>
      <c r="J7" s="227">
        <v>603.18396639784828</v>
      </c>
      <c r="K7" s="227">
        <v>531.37996527777841</v>
      </c>
      <c r="L7" s="227">
        <v>519.48905913978535</v>
      </c>
      <c r="M7" s="227">
        <v>550.92104583333457</v>
      </c>
      <c r="N7" s="227">
        <v>552.40211559139834</v>
      </c>
      <c r="O7" s="227">
        <v>550.25232526881712</v>
      </c>
      <c r="P7" s="227">
        <v>584.83206845238078</v>
      </c>
      <c r="Q7" s="227">
        <v>603.28949059139802</v>
      </c>
      <c r="R7" s="227">
        <f>AVERAGE(F7:Q7)</f>
        <v>530.10341991807479</v>
      </c>
      <c r="T7" s="241" t="s">
        <v>140</v>
      </c>
      <c r="U7" s="227">
        <f>AVERAGE(L10:Q10,F11:K11)</f>
        <v>1011.4765260593289</v>
      </c>
    </row>
    <row r="8" spans="5:26">
      <c r="E8" s="226" t="s">
        <v>141</v>
      </c>
      <c r="F8" s="227">
        <v>627.11664444444466</v>
      </c>
      <c r="G8" s="227">
        <v>686.7553803763451</v>
      </c>
      <c r="H8" s="227">
        <v>718.78583888888909</v>
      </c>
      <c r="I8" s="227">
        <v>704.0904489247315</v>
      </c>
      <c r="J8" s="227">
        <v>696.42817338709665</v>
      </c>
      <c r="K8" s="227">
        <v>657.51001527778033</v>
      </c>
      <c r="L8" s="227">
        <v>634.07630645161339</v>
      </c>
      <c r="M8" s="227">
        <v>650.29734027777806</v>
      </c>
      <c r="N8" s="227">
        <v>639.33664381720439</v>
      </c>
      <c r="O8" s="227">
        <v>696.90253494623539</v>
      </c>
      <c r="P8" s="227">
        <v>742.84562946428616</v>
      </c>
      <c r="Q8" s="227">
        <v>755.51563306451521</v>
      </c>
      <c r="R8" s="227">
        <f t="shared" ref="R8:R10" si="1">AVERAGE(F8:Q8)</f>
        <v>684.13838244341002</v>
      </c>
      <c r="T8" s="226" t="s">
        <v>142</v>
      </c>
      <c r="U8" s="242">
        <f>AVERAGE(M10:Q10,F11:L11)</f>
        <v>1030.4971688054461</v>
      </c>
    </row>
    <row r="9" spans="5:26">
      <c r="E9" s="226" t="s">
        <v>143</v>
      </c>
      <c r="F9" s="227">
        <v>775.82064027777778</v>
      </c>
      <c r="G9" s="227">
        <v>863.799701612901</v>
      </c>
      <c r="H9" s="227">
        <v>811.07439444444412</v>
      </c>
      <c r="I9" s="227">
        <v>808.52997983871035</v>
      </c>
      <c r="J9" s="227">
        <v>829.63654973118253</v>
      </c>
      <c r="K9" s="227">
        <v>743.9153263888885</v>
      </c>
      <c r="L9" s="227">
        <v>733.19727150537642</v>
      </c>
      <c r="M9" s="227">
        <v>704.33740833333343</v>
      </c>
      <c r="N9" s="227">
        <v>707.53410887096879</v>
      </c>
      <c r="O9" s="227">
        <v>746.15650672043137</v>
      </c>
      <c r="P9" s="227">
        <v>799.33710714285792</v>
      </c>
      <c r="Q9" s="227">
        <v>850.09875806451566</v>
      </c>
      <c r="R9" s="227">
        <f t="shared" si="1"/>
        <v>781.11981274428229</v>
      </c>
    </row>
    <row r="10" spans="5:26">
      <c r="E10" s="226" t="s">
        <v>144</v>
      </c>
      <c r="F10" s="227">
        <v>852.77219024398914</v>
      </c>
      <c r="G10" s="227">
        <v>913.66165022865368</v>
      </c>
      <c r="H10" s="227">
        <v>1010.7232457143861</v>
      </c>
      <c r="I10" s="227">
        <v>973.4609501602331</v>
      </c>
      <c r="J10" s="227">
        <v>1005.586860574091</v>
      </c>
      <c r="K10" s="227">
        <v>971.10660178566036</v>
      </c>
      <c r="L10" s="227">
        <v>919.7522870465948</v>
      </c>
      <c r="M10" s="227">
        <v>856.15109793393628</v>
      </c>
      <c r="N10" s="227">
        <v>880.22631340019177</v>
      </c>
      <c r="O10" s="227">
        <v>921.60190415168915</v>
      </c>
      <c r="P10" s="227">
        <v>988.19382374359498</v>
      </c>
      <c r="Q10" s="227">
        <v>1027.0079715613244</v>
      </c>
      <c r="R10" s="227">
        <f t="shared" si="1"/>
        <v>943.3537413786953</v>
      </c>
      <c r="U10" s="228"/>
      <c r="V10" s="229"/>
    </row>
    <row r="11" spans="5:26">
      <c r="E11" s="226" t="s">
        <v>145</v>
      </c>
      <c r="F11" s="226">
        <v>1021.8962101080143</v>
      </c>
      <c r="G11" s="226">
        <v>1071.4059633313129</v>
      </c>
      <c r="H11" s="226">
        <v>1027.5903620756242</v>
      </c>
      <c r="I11" s="226">
        <v>1123.1962568381646</v>
      </c>
      <c r="J11" s="226">
        <v>1114.6567506031602</v>
      </c>
      <c r="K11" s="226">
        <v>1186.0393719183394</v>
      </c>
      <c r="L11" s="229">
        <f>U11</f>
        <v>1148</v>
      </c>
      <c r="R11" s="227">
        <f>AVERAGE(F11:L11)</f>
        <v>1098.9692735535166</v>
      </c>
      <c r="T11" s="475" t="s">
        <v>146</v>
      </c>
      <c r="U11" s="226">
        <v>1148</v>
      </c>
    </row>
    <row r="12" spans="5:26">
      <c r="E12" s="230" t="s">
        <v>147</v>
      </c>
      <c r="L12" s="231" t="s">
        <v>148</v>
      </c>
      <c r="Q12" s="232" t="s">
        <v>149</v>
      </c>
      <c r="R12" s="233">
        <f>_xlfn.RRI(3,R7,R10)</f>
        <v>0.21181964896631844</v>
      </c>
      <c r="T12" s="476" t="s">
        <v>150</v>
      </c>
    </row>
    <row r="13" spans="5:26">
      <c r="L13" s="231" t="s">
        <v>151</v>
      </c>
    </row>
    <row r="15" spans="5:26">
      <c r="E15" s="225"/>
      <c r="F15" s="225" t="s">
        <v>83</v>
      </c>
      <c r="G15" s="225" t="s">
        <v>84</v>
      </c>
      <c r="H15" s="225" t="s">
        <v>134</v>
      </c>
      <c r="I15" s="225" t="s">
        <v>135</v>
      </c>
      <c r="J15" s="225" t="s">
        <v>87</v>
      </c>
      <c r="K15" s="225" t="s">
        <v>152</v>
      </c>
      <c r="L15" s="225" t="s">
        <v>89</v>
      </c>
      <c r="M15" s="225" t="s">
        <v>90</v>
      </c>
      <c r="N15" s="225" t="s">
        <v>91</v>
      </c>
      <c r="O15" s="225" t="s">
        <v>92</v>
      </c>
      <c r="P15" s="225" t="s">
        <v>93</v>
      </c>
      <c r="Q15" s="225" t="s">
        <v>94</v>
      </c>
      <c r="R15" s="225" t="s">
        <v>138</v>
      </c>
      <c r="T15" s="223" t="s">
        <v>138</v>
      </c>
      <c r="V15" s="229"/>
    </row>
    <row r="16" spans="5:26">
      <c r="E16" s="226" t="s">
        <v>144</v>
      </c>
      <c r="F16" s="227">
        <f t="shared" ref="F16:Q16" si="2">F10</f>
        <v>852.77219024398914</v>
      </c>
      <c r="G16" s="227">
        <f t="shared" si="2"/>
        <v>913.66165022865368</v>
      </c>
      <c r="H16" s="227">
        <f t="shared" si="2"/>
        <v>1010.7232457143861</v>
      </c>
      <c r="I16" s="227">
        <f t="shared" si="2"/>
        <v>973.4609501602331</v>
      </c>
      <c r="J16" s="227">
        <f t="shared" si="2"/>
        <v>1005.586860574091</v>
      </c>
      <c r="K16" s="227">
        <f t="shared" si="2"/>
        <v>971.10660178566036</v>
      </c>
      <c r="L16" s="227">
        <f t="shared" si="2"/>
        <v>919.7522870465948</v>
      </c>
      <c r="M16" s="227">
        <f t="shared" si="2"/>
        <v>856.15109793393628</v>
      </c>
      <c r="N16" s="227">
        <f t="shared" si="2"/>
        <v>880.22631340019177</v>
      </c>
      <c r="O16" s="227">
        <f t="shared" si="2"/>
        <v>921.60190415168915</v>
      </c>
      <c r="P16" s="227">
        <f t="shared" si="2"/>
        <v>988.19382374359498</v>
      </c>
      <c r="Q16" s="227">
        <f t="shared" si="2"/>
        <v>1027.0079715613244</v>
      </c>
      <c r="R16" s="227">
        <f t="shared" ref="R16:R22" si="3">AVERAGE(F16:Q16)</f>
        <v>943.3537413786953</v>
      </c>
      <c r="T16" s="246">
        <f>R10</f>
        <v>943.3537413786953</v>
      </c>
    </row>
    <row r="17" spans="5:20">
      <c r="E17" s="226" t="s">
        <v>145</v>
      </c>
      <c r="F17" s="226">
        <f>F16*(1+$R$12)</f>
        <v>1033.4060962297094</v>
      </c>
      <c r="G17" s="226">
        <f t="shared" ref="F17:Q22" si="4">G16*(1+$R$12)</f>
        <v>1107.1931402540743</v>
      </c>
      <c r="H17" s="226">
        <f t="shared" si="4"/>
        <v>1224.8142888237053</v>
      </c>
      <c r="I17" s="226">
        <f t="shared" si="4"/>
        <v>1179.6591069055926</v>
      </c>
      <c r="J17" s="226">
        <f t="shared" si="4"/>
        <v>1218.5899163860372</v>
      </c>
      <c r="K17" s="226">
        <f t="shared" si="4"/>
        <v>1176.8060612847733</v>
      </c>
      <c r="L17" s="226">
        <f t="shared" si="4"/>
        <v>1114.5738936247731</v>
      </c>
      <c r="M17" s="226">
        <f t="shared" si="4"/>
        <v>1037.5007229604307</v>
      </c>
      <c r="N17" s="226">
        <f t="shared" si="4"/>
        <v>1066.6755421155369</v>
      </c>
      <c r="O17" s="226">
        <f t="shared" si="4"/>
        <v>1116.8152959757906</v>
      </c>
      <c r="P17" s="226">
        <f t="shared" si="4"/>
        <v>1197.5126925996472</v>
      </c>
      <c r="Q17" s="226">
        <f t="shared" si="4"/>
        <v>1244.5484395830549</v>
      </c>
      <c r="R17" s="227">
        <f>AVERAGE(F17:Q17)</f>
        <v>1143.1745997285936</v>
      </c>
      <c r="T17" s="246">
        <f t="shared" ref="T17:T22" si="5">T16*(1+$R$12)</f>
        <v>1143.1745997285936</v>
      </c>
    </row>
    <row r="18" spans="5:20">
      <c r="E18" s="226" t="s">
        <v>153</v>
      </c>
      <c r="F18" s="226">
        <f t="shared" si="4"/>
        <v>1252.30181277274</v>
      </c>
      <c r="G18" s="226">
        <f t="shared" si="4"/>
        <v>1341.718402560608</v>
      </c>
      <c r="H18" s="226">
        <f t="shared" si="4"/>
        <v>1484.2540215312736</v>
      </c>
      <c r="I18" s="226">
        <f t="shared" si="4"/>
        <v>1429.534084830256</v>
      </c>
      <c r="J18" s="226">
        <f t="shared" si="4"/>
        <v>1476.7112047088228</v>
      </c>
      <c r="K18" s="226">
        <f t="shared" si="4"/>
        <v>1426.0767080875498</v>
      </c>
      <c r="L18" s="226">
        <f t="shared" si="4"/>
        <v>1350.6625445193952</v>
      </c>
      <c r="M18" s="226">
        <f t="shared" si="4"/>
        <v>1257.2637619002107</v>
      </c>
      <c r="N18" s="226">
        <f t="shared" si="4"/>
        <v>1292.6183810074074</v>
      </c>
      <c r="O18" s="226">
        <f t="shared" si="4"/>
        <v>1353.3787199295975</v>
      </c>
      <c r="P18" s="226">
        <f t="shared" si="4"/>
        <v>1451.1694107788153</v>
      </c>
      <c r="Q18" s="226">
        <f t="shared" si="4"/>
        <v>1508.1682531771171</v>
      </c>
      <c r="R18" s="227">
        <f t="shared" si="3"/>
        <v>1385.321442150316</v>
      </c>
      <c r="T18" s="246">
        <f t="shared" si="5"/>
        <v>1385.321442150316</v>
      </c>
    </row>
    <row r="19" spans="5:20">
      <c r="E19" s="226" t="s">
        <v>154</v>
      </c>
      <c r="F19" s="226">
        <f t="shared" si="4"/>
        <v>1517.563943154146</v>
      </c>
      <c r="G19" s="226">
        <f t="shared" si="4"/>
        <v>1625.9207236026455</v>
      </c>
      <c r="H19" s="226">
        <f t="shared" si="4"/>
        <v>1798.6481873488744</v>
      </c>
      <c r="I19" s="226">
        <f t="shared" si="4"/>
        <v>1732.3374928643882</v>
      </c>
      <c r="J19" s="226">
        <f t="shared" si="4"/>
        <v>1789.507653714875</v>
      </c>
      <c r="K19" s="226">
        <f t="shared" si="4"/>
        <v>1728.1477757936975</v>
      </c>
      <c r="L19" s="226">
        <f t="shared" si="4"/>
        <v>1636.7594105714479</v>
      </c>
      <c r="M19" s="226">
        <f t="shared" si="4"/>
        <v>1523.5769306039863</v>
      </c>
      <c r="N19" s="226">
        <f t="shared" si="4"/>
        <v>1566.4203527198072</v>
      </c>
      <c r="O19" s="226">
        <f t="shared" si="4"/>
        <v>1640.0509253035702</v>
      </c>
      <c r="P19" s="226">
        <f t="shared" si="4"/>
        <v>1758.5556059606431</v>
      </c>
      <c r="Q19" s="226">
        <f t="shared" si="4"/>
        <v>1827.6279231472397</v>
      </c>
      <c r="R19" s="227">
        <f t="shared" si="3"/>
        <v>1678.7597437321099</v>
      </c>
      <c r="T19" s="246">
        <f t="shared" si="5"/>
        <v>1678.7597437321099</v>
      </c>
    </row>
    <row r="20" spans="5:20">
      <c r="E20" s="226" t="s">
        <v>155</v>
      </c>
      <c r="F20" s="226">
        <f t="shared" si="4"/>
        <v>1839.0138048769993</v>
      </c>
      <c r="G20" s="226">
        <f t="shared" si="4"/>
        <v>1970.3226805232202</v>
      </c>
      <c r="H20" s="226">
        <f t="shared" si="4"/>
        <v>2179.6372150070179</v>
      </c>
      <c r="I20" s="226">
        <f t="shared" si="4"/>
        <v>2099.2806124941153</v>
      </c>
      <c r="J20" s="226">
        <f t="shared" si="4"/>
        <v>2168.5605367472999</v>
      </c>
      <c r="K20" s="226">
        <f t="shared" si="4"/>
        <v>2094.2034310242425</v>
      </c>
      <c r="L20" s="226">
        <f t="shared" si="4"/>
        <v>1983.4572143610103</v>
      </c>
      <c r="M20" s="226">
        <f t="shared" si="4"/>
        <v>1846.3004612177035</v>
      </c>
      <c r="N20" s="226">
        <f t="shared" si="4"/>
        <v>1898.2189619666135</v>
      </c>
      <c r="O20" s="226">
        <f t="shared" si="4"/>
        <v>1987.4459365882583</v>
      </c>
      <c r="P20" s="226">
        <f t="shared" si="4"/>
        <v>2131.0522371029779</v>
      </c>
      <c r="Q20" s="226">
        <f t="shared" si="4"/>
        <v>2214.7554282693295</v>
      </c>
      <c r="R20" s="227">
        <f t="shared" si="3"/>
        <v>2034.3540433482322</v>
      </c>
      <c r="T20" s="246">
        <f t="shared" si="5"/>
        <v>2034.3540433482322</v>
      </c>
    </row>
    <row r="21" spans="5:20">
      <c r="E21" s="226" t="s">
        <v>156</v>
      </c>
      <c r="F21" s="226">
        <f t="shared" si="4"/>
        <v>2228.5530634702591</v>
      </c>
      <c r="G21" s="226">
        <f t="shared" si="4"/>
        <v>2387.6757390620241</v>
      </c>
      <c r="H21" s="226">
        <f t="shared" si="4"/>
        <v>2641.3272047637283</v>
      </c>
      <c r="I21" s="226">
        <f t="shared" si="4"/>
        <v>2543.9494949144168</v>
      </c>
      <c r="J21" s="226">
        <f t="shared" si="4"/>
        <v>2627.9042684033243</v>
      </c>
      <c r="K21" s="226">
        <f t="shared" si="4"/>
        <v>2537.7968666478573</v>
      </c>
      <c r="L21" s="226">
        <f t="shared" si="4"/>
        <v>2403.5924252466712</v>
      </c>
      <c r="M21" s="226">
        <f t="shared" si="4"/>
        <v>2237.3831767991892</v>
      </c>
      <c r="N21" s="226">
        <f t="shared" si="4"/>
        <v>2300.2990361515908</v>
      </c>
      <c r="O21" s="226">
        <f t="shared" si="4"/>
        <v>2408.4260372159192</v>
      </c>
      <c r="P21" s="226">
        <f t="shared" si="4"/>
        <v>2582.4509738950183</v>
      </c>
      <c r="Q21" s="226">
        <f t="shared" si="4"/>
        <v>2683.8841456315872</v>
      </c>
      <c r="R21" s="227">
        <f t="shared" si="3"/>
        <v>2465.2702026834654</v>
      </c>
      <c r="T21" s="246">
        <f t="shared" si="5"/>
        <v>2465.2702026834654</v>
      </c>
    </row>
    <row r="22" spans="5:20">
      <c r="E22" s="226" t="s">
        <v>157</v>
      </c>
      <c r="F22" s="226">
        <f t="shared" si="4"/>
        <v>2700.6043910773428</v>
      </c>
      <c r="G22" s="226">
        <f t="shared" si="4"/>
        <v>2893.4323759555368</v>
      </c>
      <c r="H22" s="226">
        <f t="shared" si="4"/>
        <v>3200.8122060819683</v>
      </c>
      <c r="I22" s="226">
        <f t="shared" si="4"/>
        <v>3082.8079839152319</v>
      </c>
      <c r="J22" s="226">
        <f t="shared" si="4"/>
        <v>3184.5460280536063</v>
      </c>
      <c r="K22" s="226">
        <f t="shared" si="4"/>
        <v>3075.3521080890291</v>
      </c>
      <c r="L22" s="226">
        <f t="shared" si="4"/>
        <v>2912.7205290205229</v>
      </c>
      <c r="M22" s="226">
        <f t="shared" si="4"/>
        <v>2711.3048959119396</v>
      </c>
      <c r="N22" s="226">
        <f t="shared" si="4"/>
        <v>2787.5475705067815</v>
      </c>
      <c r="O22" s="226">
        <f t="shared" si="4"/>
        <v>2918.5779949803368</v>
      </c>
      <c r="P22" s="226">
        <f t="shared" si="4"/>
        <v>3129.4648326581882</v>
      </c>
      <c r="Q22" s="226">
        <f t="shared" si="4"/>
        <v>3252.3835432255373</v>
      </c>
      <c r="R22" s="227">
        <f t="shared" si="3"/>
        <v>2987.4628716230018</v>
      </c>
      <c r="T22" s="246">
        <f t="shared" si="5"/>
        <v>2987.4628716230018</v>
      </c>
    </row>
  </sheetData>
  <mergeCells count="1">
    <mergeCell ref="E5:R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78"/>
  <sheetViews>
    <sheetView showGridLines="0" zoomScale="75" zoomScaleNormal="85" zoomScaleSheetLayoutView="58" workbookViewId="0">
      <selection activeCell="C20" sqref="C20"/>
    </sheetView>
  </sheetViews>
  <sheetFormatPr defaultColWidth="9.140625" defaultRowHeight="13.9"/>
  <cols>
    <col min="1" max="1" width="4.140625" style="36" customWidth="1"/>
    <col min="2" max="2" width="6.28515625" style="36" customWidth="1"/>
    <col min="3" max="3" width="46.5703125" style="36" customWidth="1"/>
    <col min="4" max="13" width="18.140625" style="36" customWidth="1"/>
    <col min="14" max="14" width="14.140625" style="36" customWidth="1"/>
    <col min="15" max="15" width="15.140625" style="36" customWidth="1"/>
    <col min="16" max="16384" width="9.140625" style="36"/>
  </cols>
  <sheetData>
    <row r="1" spans="2:17">
      <c r="B1" s="39"/>
    </row>
    <row r="2" spans="2:17">
      <c r="B2" s="417" t="s">
        <v>19</v>
      </c>
      <c r="C2" s="417"/>
      <c r="D2" s="417"/>
      <c r="E2" s="417"/>
      <c r="F2" s="417"/>
      <c r="G2" s="417"/>
      <c r="H2" s="417"/>
      <c r="I2" s="417"/>
      <c r="J2" s="417"/>
      <c r="K2" s="417"/>
      <c r="L2" s="417"/>
      <c r="M2" s="417"/>
    </row>
    <row r="3" spans="2:17">
      <c r="B3" s="418" t="s">
        <v>1</v>
      </c>
      <c r="C3" s="418"/>
      <c r="D3" s="418"/>
      <c r="E3" s="418"/>
      <c r="F3" s="418"/>
      <c r="G3" s="418"/>
      <c r="H3" s="418"/>
      <c r="I3" s="418"/>
      <c r="J3" s="418"/>
      <c r="K3" s="418"/>
      <c r="L3" s="418"/>
      <c r="M3" s="418"/>
    </row>
    <row r="4" spans="2:17">
      <c r="B4" s="417" t="s">
        <v>158</v>
      </c>
      <c r="C4" s="417"/>
      <c r="D4" s="417"/>
      <c r="E4" s="417"/>
      <c r="F4" s="417"/>
      <c r="G4" s="417"/>
      <c r="H4" s="417"/>
      <c r="I4" s="417"/>
      <c r="J4" s="417"/>
      <c r="K4" s="417"/>
      <c r="L4" s="417"/>
      <c r="M4" s="417"/>
    </row>
    <row r="5" spans="2:17">
      <c r="B5" s="37"/>
      <c r="C5" s="108"/>
      <c r="D5" s="108"/>
    </row>
    <row r="6" spans="2:17">
      <c r="B6" s="37"/>
      <c r="C6" s="37" t="s">
        <v>159</v>
      </c>
      <c r="D6" s="108"/>
    </row>
    <row r="7" spans="2:17">
      <c r="B7" s="37"/>
      <c r="C7" s="108"/>
      <c r="D7" s="108"/>
    </row>
    <row r="8" spans="2:17">
      <c r="B8" s="411" t="s">
        <v>2</v>
      </c>
      <c r="C8" s="415" t="s">
        <v>82</v>
      </c>
      <c r="D8" s="411" t="s">
        <v>51</v>
      </c>
      <c r="E8" s="411"/>
      <c r="F8" s="411"/>
      <c r="G8" s="411"/>
      <c r="H8" s="411" t="s">
        <v>52</v>
      </c>
      <c r="I8" s="411"/>
      <c r="J8" s="411"/>
      <c r="K8" s="411"/>
      <c r="L8" s="411" t="s">
        <v>53</v>
      </c>
      <c r="M8" s="411"/>
      <c r="N8" s="411"/>
      <c r="O8" s="411"/>
      <c r="P8" s="411" t="s">
        <v>25</v>
      </c>
    </row>
    <row r="9" spans="2:17">
      <c r="B9" s="411"/>
      <c r="C9" s="415"/>
      <c r="D9" s="411" t="s">
        <v>160</v>
      </c>
      <c r="E9" s="411"/>
      <c r="F9" s="411" t="s">
        <v>56</v>
      </c>
      <c r="G9" s="411"/>
      <c r="H9" s="411" t="s">
        <v>161</v>
      </c>
      <c r="I9" s="411"/>
      <c r="J9" s="411" t="s">
        <v>56</v>
      </c>
      <c r="K9" s="411"/>
      <c r="L9" s="411" t="s">
        <v>161</v>
      </c>
      <c r="M9" s="411"/>
      <c r="N9" s="411" t="s">
        <v>162</v>
      </c>
      <c r="O9" s="411"/>
      <c r="P9" s="411"/>
    </row>
    <row r="10" spans="2:17">
      <c r="B10" s="414"/>
      <c r="C10" s="416"/>
      <c r="D10" s="50" t="s">
        <v>163</v>
      </c>
      <c r="E10" s="50" t="s">
        <v>164</v>
      </c>
      <c r="F10" s="50" t="s">
        <v>163</v>
      </c>
      <c r="G10" s="50" t="s">
        <v>164</v>
      </c>
      <c r="H10" s="50" t="s">
        <v>163</v>
      </c>
      <c r="I10" s="50" t="s">
        <v>164</v>
      </c>
      <c r="J10" s="50" t="s">
        <v>163</v>
      </c>
      <c r="K10" s="50" t="s">
        <v>164</v>
      </c>
      <c r="L10" s="50" t="s">
        <v>163</v>
      </c>
      <c r="M10" s="50" t="s">
        <v>164</v>
      </c>
      <c r="N10" s="50" t="s">
        <v>163</v>
      </c>
      <c r="O10" s="50" t="s">
        <v>164</v>
      </c>
      <c r="P10" s="419"/>
    </row>
    <row r="11" spans="2:17">
      <c r="B11" s="107">
        <v>1</v>
      </c>
      <c r="C11" s="10" t="s">
        <v>96</v>
      </c>
      <c r="D11" s="114">
        <v>18858.34</v>
      </c>
      <c r="E11" s="200">
        <f t="shared" ref="E11:E25" si="0">D11/$D$26</f>
        <v>0.83855915208248666</v>
      </c>
      <c r="F11" s="118">
        <f>VLOOKUP(C11,'Demand Projections Historical'!$C$74:$D$91,2,0)</f>
        <v>21657.67853029129</v>
      </c>
      <c r="G11" s="200">
        <f t="shared" ref="G11:G25" si="1">F11/$F$26</f>
        <v>0.85611468766105303</v>
      </c>
      <c r="H11" s="118">
        <v>22179.26</v>
      </c>
      <c r="I11" s="200">
        <f t="shared" ref="I11:I25" si="2">H11/$H$26</f>
        <v>0.85894179332737197</v>
      </c>
      <c r="J11" s="118">
        <f>VLOOKUP(C11,'Demand Projections Historical'!$C$74:$E$91,3,0)</f>
        <v>23299.942140979343</v>
      </c>
      <c r="K11" s="200">
        <f t="shared" ref="K11:K25" si="3">J11/$J$26</f>
        <v>0.85742983857862154</v>
      </c>
      <c r="L11" s="118">
        <v>23060.61</v>
      </c>
      <c r="M11" s="200">
        <f t="shared" ref="M11:M25" si="4">L11/$L$26</f>
        <v>0.86018871429434696</v>
      </c>
      <c r="N11" s="118">
        <v>25610.335764496322</v>
      </c>
      <c r="O11" s="202">
        <f t="shared" ref="O11:O25" si="5">N11/$N$26</f>
        <v>0.85766448800140549</v>
      </c>
      <c r="P11" s="42"/>
      <c r="Q11"/>
    </row>
    <row r="12" spans="2:17">
      <c r="B12" s="107">
        <v>2</v>
      </c>
      <c r="C12" s="10" t="s">
        <v>97</v>
      </c>
      <c r="D12" s="114">
        <v>830.26</v>
      </c>
      <c r="E12" s="200">
        <f t="shared" si="0"/>
        <v>3.6918526318223413E-2</v>
      </c>
      <c r="F12" s="118">
        <f>VLOOKUP(C12,'Demand Projections Historical'!$C$74:$D$91,2,0)</f>
        <v>840.76851174359581</v>
      </c>
      <c r="G12" s="200">
        <f t="shared" si="1"/>
        <v>3.3235061219506236E-2</v>
      </c>
      <c r="H12" s="118">
        <v>857.41</v>
      </c>
      <c r="I12" s="200">
        <f t="shared" si="2"/>
        <v>3.3205133219810848E-2</v>
      </c>
      <c r="J12" s="118">
        <f>VLOOKUP(C12,'Demand Projections Historical'!$C$74:$E$91,3,0)</f>
        <v>887.88524415390566</v>
      </c>
      <c r="K12" s="200">
        <f t="shared" si="3"/>
        <v>3.2673870903407502E-2</v>
      </c>
      <c r="L12" s="118">
        <v>883.13</v>
      </c>
      <c r="M12" s="200">
        <f t="shared" si="4"/>
        <v>3.2941819806794642E-2</v>
      </c>
      <c r="N12" s="118">
        <v>975.92685361782389</v>
      </c>
      <c r="O12" s="202">
        <f t="shared" si="5"/>
        <v>3.2682812632051222E-2</v>
      </c>
      <c r="P12" s="42"/>
      <c r="Q12"/>
    </row>
    <row r="13" spans="2:17">
      <c r="B13" s="107">
        <v>3</v>
      </c>
      <c r="C13" s="10" t="s">
        <v>98</v>
      </c>
      <c r="D13" s="114">
        <v>1544.7</v>
      </c>
      <c r="E13" s="200">
        <f t="shared" si="0"/>
        <v>6.8686974687157898E-2</v>
      </c>
      <c r="F13" s="118">
        <f>VLOOKUP(C13,'Demand Projections Historical'!$C$74:$D$91,2,0)</f>
        <v>1520.3184966791343</v>
      </c>
      <c r="G13" s="200">
        <f t="shared" si="1"/>
        <v>6.0097253411041052E-2</v>
      </c>
      <c r="H13" s="119">
        <v>1531.17</v>
      </c>
      <c r="I13" s="200">
        <f t="shared" si="2"/>
        <v>5.9298006592152862E-2</v>
      </c>
      <c r="J13" s="118">
        <f>VLOOKUP(C13,'Demand Projections Historical'!$C$74:$E$91,3,0)</f>
        <v>1620.5122889019176</v>
      </c>
      <c r="K13" s="200">
        <f t="shared" si="3"/>
        <v>5.9634293590972894E-2</v>
      </c>
      <c r="L13" s="119">
        <v>1577.1</v>
      </c>
      <c r="M13" s="200">
        <f t="shared" si="4"/>
        <v>5.8827742254589727E-2</v>
      </c>
      <c r="N13" s="119">
        <v>1781.2002956126721</v>
      </c>
      <c r="O13" s="202">
        <f t="shared" si="5"/>
        <v>5.965061347155045E-2</v>
      </c>
      <c r="P13" s="42"/>
      <c r="Q13"/>
    </row>
    <row r="14" spans="2:17">
      <c r="B14" s="107">
        <v>4</v>
      </c>
      <c r="C14" s="10" t="s">
        <v>99</v>
      </c>
      <c r="D14" s="114">
        <v>822.52</v>
      </c>
      <c r="E14" s="200">
        <f t="shared" si="0"/>
        <v>3.6574357752107919E-2</v>
      </c>
      <c r="F14" s="118">
        <f>VLOOKUP(C14,'Demand Projections Historical'!$C$74:$D$91,2,0)</f>
        <v>766.74492025824748</v>
      </c>
      <c r="G14" s="200">
        <f t="shared" si="1"/>
        <v>3.0308954258624312E-2</v>
      </c>
      <c r="H14" s="119">
        <v>778.7</v>
      </c>
      <c r="I14" s="200">
        <f t="shared" si="2"/>
        <v>3.0156911207318216E-2</v>
      </c>
      <c r="J14" s="118">
        <f>VLOOKUP(C14,'Demand Projections Historical'!$C$74:$E$91,3,0)</f>
        <v>809.62212685602651</v>
      </c>
      <c r="K14" s="200">
        <f t="shared" si="3"/>
        <v>2.9793815166558379E-2</v>
      </c>
      <c r="L14" s="119">
        <v>802.07</v>
      </c>
      <c r="M14" s="200">
        <f t="shared" si="4"/>
        <v>2.9918183520473519E-2</v>
      </c>
      <c r="N14" s="119">
        <v>889.90326180599482</v>
      </c>
      <c r="O14" s="202">
        <f t="shared" si="5"/>
        <v>2.9801968721772824E-2</v>
      </c>
      <c r="P14" s="42"/>
      <c r="Q14"/>
    </row>
    <row r="15" spans="2:17">
      <c r="B15" s="107">
        <v>5</v>
      </c>
      <c r="C15" s="10" t="s">
        <v>100</v>
      </c>
      <c r="D15" s="114">
        <v>387.97</v>
      </c>
      <c r="E15" s="200">
        <f t="shared" si="0"/>
        <v>1.725156054209662E-2</v>
      </c>
      <c r="F15" s="118">
        <f>VLOOKUP(C15,'Demand Projections Historical'!$C$74:$D$91,2,0)</f>
        <v>465.27687453063868</v>
      </c>
      <c r="G15" s="200">
        <f t="shared" si="1"/>
        <v>1.8392108164205504E-2</v>
      </c>
      <c r="H15" s="119">
        <v>412.77</v>
      </c>
      <c r="I15" s="200">
        <f t="shared" si="2"/>
        <v>1.598544784775233E-2</v>
      </c>
      <c r="J15" s="118">
        <f>VLOOKUP(C15,'Demand Projections Historical'!$C$74:$E$91,3,0)</f>
        <v>476.29576368417844</v>
      </c>
      <c r="K15" s="200">
        <f t="shared" si="3"/>
        <v>1.7527519909722872E-2</v>
      </c>
      <c r="L15" s="119">
        <v>417.42</v>
      </c>
      <c r="M15" s="200">
        <f t="shared" si="4"/>
        <v>1.557027212726577E-2</v>
      </c>
      <c r="N15" s="119">
        <v>523.52466617096479</v>
      </c>
      <c r="O15" s="202">
        <f t="shared" si="5"/>
        <v>1.7532316596570709E-2</v>
      </c>
      <c r="P15" s="42"/>
      <c r="Q15"/>
    </row>
    <row r="16" spans="2:17">
      <c r="B16" s="107">
        <v>6</v>
      </c>
      <c r="C16" s="10" t="s">
        <v>101</v>
      </c>
      <c r="D16" s="88">
        <v>15.8</v>
      </c>
      <c r="E16" s="200">
        <f t="shared" si="0"/>
        <v>7.0256632359493411E-4</v>
      </c>
      <c r="F16" s="118">
        <f>VLOOKUP(C16,'Demand Projections Historical'!$C$74:$D$91,2,0)</f>
        <v>8.8263642335825754</v>
      </c>
      <c r="G16" s="200">
        <f t="shared" si="1"/>
        <v>3.4890073968212162E-4</v>
      </c>
      <c r="H16" s="119">
        <v>13</v>
      </c>
      <c r="I16" s="200">
        <f t="shared" si="2"/>
        <v>5.0345427725072148E-4</v>
      </c>
      <c r="J16" s="118">
        <f>VLOOKUP(C16,'Demand Projections Historical'!$C$74:$E$91,3,0)</f>
        <v>9.6288927584068791</v>
      </c>
      <c r="K16" s="200">
        <f t="shared" si="3"/>
        <v>3.5433993413275694E-4</v>
      </c>
      <c r="L16" s="119">
        <v>14</v>
      </c>
      <c r="M16" s="200">
        <f t="shared" si="4"/>
        <v>5.2221697518499541E-4</v>
      </c>
      <c r="N16" s="119">
        <v>10.583681928952736</v>
      </c>
      <c r="O16" s="202">
        <f t="shared" si="5"/>
        <v>3.5443690493698209E-4</v>
      </c>
      <c r="P16" s="42"/>
      <c r="Q16"/>
    </row>
    <row r="17" spans="2:17">
      <c r="B17" s="107">
        <v>7</v>
      </c>
      <c r="C17" s="10" t="s">
        <v>102</v>
      </c>
      <c r="D17" s="88">
        <v>8</v>
      </c>
      <c r="E17" s="200">
        <f t="shared" si="0"/>
        <v>3.5572978409870079E-4</v>
      </c>
      <c r="F17" s="118">
        <f>VLOOKUP(C17,'Demand Projections Historical'!$C$74:$D$91,2,0)</f>
        <v>4.9591404052703156</v>
      </c>
      <c r="G17" s="200">
        <f t="shared" si="1"/>
        <v>1.9603176458581417E-4</v>
      </c>
      <c r="H17" s="154">
        <v>5.5</v>
      </c>
      <c r="I17" s="200">
        <f t="shared" si="2"/>
        <v>2.1299988652915137E-4</v>
      </c>
      <c r="J17" s="118">
        <f>VLOOKUP(C17,'Demand Projections Historical'!$C$74:$E$91,3,0)</f>
        <v>4.7581209253517445</v>
      </c>
      <c r="K17" s="200">
        <f t="shared" si="3"/>
        <v>1.7509720978175903E-4</v>
      </c>
      <c r="L17" s="154">
        <v>5.5</v>
      </c>
      <c r="M17" s="200">
        <f t="shared" si="4"/>
        <v>2.0515666882267675E-4</v>
      </c>
      <c r="N17" s="154">
        <v>5.2299303478533119</v>
      </c>
      <c r="O17" s="202">
        <f t="shared" si="5"/>
        <v>1.7514512794060747E-4</v>
      </c>
      <c r="P17" s="56"/>
      <c r="Q17"/>
    </row>
    <row r="18" spans="2:17">
      <c r="B18" s="107">
        <v>8</v>
      </c>
      <c r="C18" s="10" t="s">
        <v>103</v>
      </c>
      <c r="D18" s="88">
        <v>8.5</v>
      </c>
      <c r="E18" s="200">
        <f t="shared" si="0"/>
        <v>3.7796289560486959E-4</v>
      </c>
      <c r="F18" s="118">
        <f>VLOOKUP(C18,'Demand Projections Historical'!$C$74:$D$91,2,0)</f>
        <v>4.2261638574231251</v>
      </c>
      <c r="G18" s="200">
        <f t="shared" si="1"/>
        <v>1.6705765328180663E-4</v>
      </c>
      <c r="H18" s="154">
        <v>6</v>
      </c>
      <c r="I18" s="200">
        <f t="shared" si="2"/>
        <v>2.3236351257725606E-4</v>
      </c>
      <c r="J18" s="118">
        <f>VLOOKUP(C18,'Demand Projections Historical'!$C$74:$E$91,3,0)</f>
        <v>4.8354931743877367</v>
      </c>
      <c r="K18" s="200">
        <f t="shared" si="3"/>
        <v>1.779444818736805E-4</v>
      </c>
      <c r="L18" s="154">
        <v>6.5</v>
      </c>
      <c r="M18" s="200">
        <f t="shared" si="4"/>
        <v>2.4245788133589073E-4</v>
      </c>
      <c r="N18" s="154">
        <v>5.3149747340014182</v>
      </c>
      <c r="O18" s="202">
        <f t="shared" si="5"/>
        <v>1.7799317923418816E-4</v>
      </c>
      <c r="P18" s="56"/>
      <c r="Q18"/>
    </row>
    <row r="19" spans="2:17">
      <c r="B19" s="107">
        <v>9</v>
      </c>
      <c r="C19" s="10" t="s">
        <v>104</v>
      </c>
      <c r="D19" s="88">
        <v>0.53</v>
      </c>
      <c r="E19" s="200">
        <f t="shared" si="0"/>
        <v>2.356709819653893E-5</v>
      </c>
      <c r="F19" s="118">
        <f>VLOOKUP(C19,'Demand Projections Historical'!$C$74:$D$91,2,0)</f>
        <v>3.3330259296032971</v>
      </c>
      <c r="G19" s="200">
        <f t="shared" si="1"/>
        <v>1.3175246131285796E-4</v>
      </c>
      <c r="H19" s="154">
        <v>4.5</v>
      </c>
      <c r="I19" s="200">
        <f t="shared" si="2"/>
        <v>1.7427263443294203E-4</v>
      </c>
      <c r="J19" s="118">
        <f>VLOOKUP(C19,'Demand Projections Historical'!$C$74:$E$91,3,0)</f>
        <v>5.00902343187059</v>
      </c>
      <c r="K19" s="200">
        <f t="shared" si="3"/>
        <v>1.8433033552781218E-4</v>
      </c>
      <c r="L19" s="154">
        <v>5.5</v>
      </c>
      <c r="M19" s="200">
        <f t="shared" si="4"/>
        <v>2.0515666882267675E-4</v>
      </c>
      <c r="N19" s="154">
        <v>5.5057120385211187</v>
      </c>
      <c r="O19" s="202">
        <f t="shared" si="5"/>
        <v>1.843807804795588E-4</v>
      </c>
      <c r="P19" s="56"/>
      <c r="Q19"/>
    </row>
    <row r="20" spans="2:17">
      <c r="B20" s="107">
        <v>10</v>
      </c>
      <c r="C20" s="10" t="s">
        <v>105</v>
      </c>
      <c r="D20" s="88">
        <v>12.36</v>
      </c>
      <c r="E20" s="200">
        <f t="shared" si="0"/>
        <v>5.4960251643249274E-4</v>
      </c>
      <c r="F20" s="118">
        <f>VLOOKUP(C20,'Demand Projections Historical'!$C$74:$D$91,2,0)</f>
        <v>12.504652338592978</v>
      </c>
      <c r="G20" s="200">
        <f t="shared" si="1"/>
        <v>4.9430120205134467E-4</v>
      </c>
      <c r="H20" s="154">
        <v>15</v>
      </c>
      <c r="I20" s="200">
        <f t="shared" si="2"/>
        <v>5.8090878144314011E-4</v>
      </c>
      <c r="J20" s="118">
        <f>VLOOKUP(C20,'Demand Projections Historical'!$C$74:$E$91,3,0)</f>
        <v>13.642857587808855</v>
      </c>
      <c r="K20" s="200">
        <f t="shared" si="3"/>
        <v>5.020524561171458E-4</v>
      </c>
      <c r="L20" s="154">
        <v>16</v>
      </c>
      <c r="M20" s="200">
        <f t="shared" si="4"/>
        <v>5.9681940021142331E-4</v>
      </c>
      <c r="N20" s="154">
        <v>14.995666577063236</v>
      </c>
      <c r="O20" s="202">
        <f t="shared" si="5"/>
        <v>5.021898508213358E-4</v>
      </c>
      <c r="P20" s="56"/>
      <c r="Q20"/>
    </row>
    <row r="21" spans="2:17">
      <c r="B21" s="107">
        <v>11</v>
      </c>
      <c r="C21" s="10" t="s">
        <v>106</v>
      </c>
      <c r="D21" s="88">
        <v>0</v>
      </c>
      <c r="E21" s="200">
        <f t="shared" si="0"/>
        <v>0</v>
      </c>
      <c r="F21" s="118">
        <f>VLOOKUP(C21,'Demand Projections Historical'!$C$74:$D$91,2,0)</f>
        <v>6.8753755588047403</v>
      </c>
      <c r="G21" s="200">
        <f t="shared" si="1"/>
        <v>2.7177935949349377E-4</v>
      </c>
      <c r="H21" s="154">
        <v>9</v>
      </c>
      <c r="I21" s="200">
        <f t="shared" si="2"/>
        <v>3.4854526886588406E-4</v>
      </c>
      <c r="J21" s="118">
        <f>VLOOKUP(C21,'Demand Projections Historical'!$C$74:$E$91,3,0)</f>
        <v>7.8086218578848205</v>
      </c>
      <c r="K21" s="200">
        <f t="shared" si="3"/>
        <v>2.873545924971236E-4</v>
      </c>
      <c r="L21" s="154">
        <v>10</v>
      </c>
      <c r="M21" s="200">
        <f t="shared" si="4"/>
        <v>3.7301212513213955E-4</v>
      </c>
      <c r="N21" s="154">
        <v>8.5829152033254683</v>
      </c>
      <c r="O21" s="202">
        <f t="shared" si="5"/>
        <v>2.8743323168861201E-4</v>
      </c>
      <c r="P21" s="56"/>
      <c r="Q21"/>
    </row>
    <row r="22" spans="2:17">
      <c r="B22" s="107">
        <v>12</v>
      </c>
      <c r="C22" s="10" t="s">
        <v>107</v>
      </c>
      <c r="D22" s="88">
        <v>0</v>
      </c>
      <c r="E22" s="200">
        <f t="shared" si="0"/>
        <v>0</v>
      </c>
      <c r="F22" s="118">
        <f>VLOOKUP(C22,'Demand Projections Historical'!$C$74:$D$91,2,0)</f>
        <v>4.6153764922955736</v>
      </c>
      <c r="G22" s="200">
        <f t="shared" si="1"/>
        <v>1.8244298892022791E-4</v>
      </c>
      <c r="H22" s="154">
        <v>7</v>
      </c>
      <c r="I22" s="200">
        <f t="shared" si="2"/>
        <v>2.7109076467346537E-4</v>
      </c>
      <c r="J22" s="118">
        <f>VLOOKUP(C22,'Demand Projections Historical'!$C$74:$E$91,3,0)</f>
        <v>5.5719009025949369</v>
      </c>
      <c r="K22" s="200">
        <f t="shared" si="3"/>
        <v>2.050440324092257E-4</v>
      </c>
      <c r="L22" s="154">
        <v>8</v>
      </c>
      <c r="M22" s="200">
        <f t="shared" si="4"/>
        <v>2.9840970010571165E-4</v>
      </c>
      <c r="N22" s="154">
        <v>6.1244037473802306</v>
      </c>
      <c r="O22" s="202">
        <f t="shared" si="5"/>
        <v>2.0510014599623347E-4</v>
      </c>
      <c r="P22" s="56"/>
      <c r="Q22"/>
    </row>
    <row r="23" spans="2:17">
      <c r="B23" s="107">
        <v>13</v>
      </c>
      <c r="C23" s="10" t="s">
        <v>108</v>
      </c>
      <c r="D23" s="88">
        <v>0</v>
      </c>
      <c r="E23" s="200">
        <f t="shared" si="0"/>
        <v>0</v>
      </c>
      <c r="F23" s="118">
        <f>VLOOKUP(C23,'Demand Projections Historical'!$C$74:$D$91,2,0)</f>
        <v>0.90694810225534095</v>
      </c>
      <c r="G23" s="200">
        <f t="shared" si="1"/>
        <v>3.5851099655077985E-5</v>
      </c>
      <c r="H23" s="154">
        <v>1.5</v>
      </c>
      <c r="I23" s="200">
        <f t="shared" si="2"/>
        <v>5.8090878144314014E-5</v>
      </c>
      <c r="J23" s="118">
        <f>VLOOKUP(C23,'Demand Projections Historical'!$C$74:$E$91,3,0)</f>
        <v>1.1110843832780235</v>
      </c>
      <c r="K23" s="200">
        <f t="shared" si="3"/>
        <v>4.0887522279540732E-5</v>
      </c>
      <c r="L23" s="154">
        <v>2</v>
      </c>
      <c r="M23" s="200">
        <f t="shared" si="4"/>
        <v>7.4602425026427913E-5</v>
      </c>
      <c r="N23" s="154">
        <v>1.2212581450317057</v>
      </c>
      <c r="O23" s="202">
        <f t="shared" si="5"/>
        <v>4.0898711805575731E-5</v>
      </c>
      <c r="P23" s="56"/>
      <c r="Q23"/>
    </row>
    <row r="24" spans="2:17">
      <c r="B24" s="107">
        <v>14</v>
      </c>
      <c r="C24" s="10" t="s">
        <v>109</v>
      </c>
      <c r="D24" s="88">
        <v>0</v>
      </c>
      <c r="E24" s="200">
        <f t="shared" si="0"/>
        <v>0</v>
      </c>
      <c r="F24" s="118">
        <f>VLOOKUP(C24,'Demand Projections Historical'!$C$74:$D$91,2,0)</f>
        <v>0.60253953577242603</v>
      </c>
      <c r="G24" s="200">
        <f t="shared" si="1"/>
        <v>2.3818016587039462E-5</v>
      </c>
      <c r="H24" s="154">
        <v>0.8</v>
      </c>
      <c r="I24" s="200">
        <f t="shared" si="2"/>
        <v>3.0981801676967473E-5</v>
      </c>
      <c r="J24" s="118">
        <f>VLOOKUP(C24,'Demand Projections Historical'!$C$74:$E$91,3,0)</f>
        <v>0.61456767949111812</v>
      </c>
      <c r="K24" s="200">
        <f t="shared" si="3"/>
        <v>2.2615878744819867E-5</v>
      </c>
      <c r="L24" s="154">
        <v>0.95</v>
      </c>
      <c r="M24" s="200">
        <f t="shared" si="4"/>
        <v>3.5436151887553259E-5</v>
      </c>
      <c r="N24" s="154">
        <v>0.67550745519204725</v>
      </c>
      <c r="O24" s="202">
        <f t="shared" si="5"/>
        <v>2.2622067942646275E-5</v>
      </c>
      <c r="P24" s="56"/>
      <c r="Q24"/>
    </row>
    <row r="25" spans="2:17">
      <c r="B25" s="107">
        <v>15</v>
      </c>
      <c r="C25" s="10" t="s">
        <v>110</v>
      </c>
      <c r="D25" s="113">
        <v>0</v>
      </c>
      <c r="E25" s="200">
        <f t="shared" si="0"/>
        <v>0</v>
      </c>
      <c r="F25" s="118">
        <f>VLOOKUP(C25,'Demand Projections Historical'!$C$74:$D$91,2,0)</f>
        <v>0</v>
      </c>
      <c r="G25" s="200">
        <f t="shared" si="1"/>
        <v>0</v>
      </c>
      <c r="H25" s="154">
        <v>0</v>
      </c>
      <c r="I25" s="200">
        <f t="shared" si="2"/>
        <v>0</v>
      </c>
      <c r="J25" s="118">
        <f>VLOOKUP(C25,'Demand Projections Historical'!$C$74:$E$91,3,0)</f>
        <v>26.929475292783405</v>
      </c>
      <c r="K25" s="200">
        <f t="shared" si="3"/>
        <v>9.9099540735287533E-4</v>
      </c>
      <c r="L25" s="154">
        <v>0</v>
      </c>
      <c r="M25" s="200">
        <f t="shared" si="4"/>
        <v>0</v>
      </c>
      <c r="N25" s="154">
        <v>21.427949913081029</v>
      </c>
      <c r="O25" s="202">
        <f t="shared" si="5"/>
        <v>7.1760057580345601E-4</v>
      </c>
      <c r="P25" s="56"/>
      <c r="Q25"/>
    </row>
    <row r="26" spans="2:17">
      <c r="B26" s="56"/>
      <c r="C26" s="63" t="s">
        <v>165</v>
      </c>
      <c r="D26" s="196">
        <f t="shared" ref="D26:O26" si="6">SUM(D11:D25)</f>
        <v>22488.98</v>
      </c>
      <c r="E26" s="95">
        <f t="shared" si="6"/>
        <v>1</v>
      </c>
      <c r="F26" s="196">
        <f t="shared" si="6"/>
        <v>25297.636919956509</v>
      </c>
      <c r="G26" s="95">
        <f t="shared" si="6"/>
        <v>1</v>
      </c>
      <c r="H26" s="196">
        <f t="shared" si="6"/>
        <v>25821.609999999997</v>
      </c>
      <c r="I26" s="95">
        <f t="shared" si="6"/>
        <v>1.0000000000000002</v>
      </c>
      <c r="J26" s="196">
        <f t="shared" si="6"/>
        <v>27174.167602569232</v>
      </c>
      <c r="K26" s="95">
        <f t="shared" si="6"/>
        <v>0.99999999999999978</v>
      </c>
      <c r="L26" s="196">
        <f t="shared" si="6"/>
        <v>26808.78</v>
      </c>
      <c r="M26" s="95">
        <f t="shared" si="6"/>
        <v>1.0000000000000002</v>
      </c>
      <c r="N26" s="196">
        <f t="shared" si="6"/>
        <v>29860.552841794182</v>
      </c>
      <c r="O26" s="95">
        <f t="shared" si="6"/>
        <v>0.99999999999999989</v>
      </c>
      <c r="P26" s="55"/>
      <c r="Q26"/>
    </row>
    <row r="27" spans="2:17">
      <c r="B27" s="37"/>
      <c r="C27" s="108"/>
      <c r="D27" s="108"/>
      <c r="Q27"/>
    </row>
    <row r="28" spans="2:17">
      <c r="B28" s="37"/>
      <c r="C28" s="37" t="s">
        <v>166</v>
      </c>
      <c r="D28" s="108"/>
    </row>
    <row r="29" spans="2:17">
      <c r="N29" s="41"/>
    </row>
    <row r="30" spans="2:17" s="38" customFormat="1">
      <c r="B30" s="411" t="s">
        <v>2</v>
      </c>
      <c r="C30" s="415" t="s">
        <v>82</v>
      </c>
      <c r="D30" s="411" t="s">
        <v>24</v>
      </c>
      <c r="E30" s="411"/>
      <c r="F30" s="411"/>
      <c r="G30" s="411"/>
      <c r="H30" s="411"/>
      <c r="I30" s="411"/>
      <c r="J30" s="411"/>
      <c r="K30" s="411"/>
      <c r="L30" s="411"/>
      <c r="M30" s="411"/>
      <c r="N30" s="411" t="s">
        <v>25</v>
      </c>
    </row>
    <row r="31" spans="2:17" s="38" customFormat="1">
      <c r="B31" s="411"/>
      <c r="C31" s="415"/>
      <c r="D31" s="411" t="s">
        <v>26</v>
      </c>
      <c r="E31" s="411"/>
      <c r="F31" s="411" t="s">
        <v>27</v>
      </c>
      <c r="G31" s="411"/>
      <c r="H31" s="411" t="s">
        <v>28</v>
      </c>
      <c r="I31" s="411"/>
      <c r="J31" s="411" t="s">
        <v>29</v>
      </c>
      <c r="K31" s="411"/>
      <c r="L31" s="411" t="s">
        <v>30</v>
      </c>
      <c r="M31" s="411"/>
      <c r="N31" s="411"/>
    </row>
    <row r="32" spans="2:17" s="38" customFormat="1">
      <c r="B32" s="414"/>
      <c r="C32" s="416"/>
      <c r="D32" s="50" t="s">
        <v>163</v>
      </c>
      <c r="E32" s="50" t="s">
        <v>164</v>
      </c>
      <c r="F32" s="50" t="s">
        <v>163</v>
      </c>
      <c r="G32" s="50" t="s">
        <v>164</v>
      </c>
      <c r="H32" s="50" t="s">
        <v>163</v>
      </c>
      <c r="I32" s="50" t="s">
        <v>164</v>
      </c>
      <c r="J32" s="50" t="s">
        <v>163</v>
      </c>
      <c r="K32" s="50" t="s">
        <v>164</v>
      </c>
      <c r="L32" s="50" t="s">
        <v>163</v>
      </c>
      <c r="M32" s="50" t="s">
        <v>164</v>
      </c>
      <c r="N32" s="414"/>
    </row>
    <row r="33" spans="2:14" s="43" customFormat="1">
      <c r="B33" s="107">
        <v>1</v>
      </c>
      <c r="C33" s="10" t="s">
        <v>96</v>
      </c>
      <c r="D33" s="84">
        <f>AVERAGE('F2'!K55:O55,'F2'!D123:J123)</f>
        <v>22653.880596806121</v>
      </c>
      <c r="E33" s="200">
        <f>D33/$D$52</f>
        <v>0.84885745892259168</v>
      </c>
      <c r="F33" s="84">
        <f>(D33+D33*'Demand Projection Final'!$Q$4)</f>
        <v>24068.305225108124</v>
      </c>
      <c r="G33" s="200">
        <f>F33/$F$52</f>
        <v>0.84948815036324055</v>
      </c>
      <c r="H33" s="84">
        <f>(F33+F33*'Demand Projection Final'!$Q$4)</f>
        <v>25571.041302770787</v>
      </c>
      <c r="I33" s="200">
        <f>H33/$H$52</f>
        <v>0.85004693576266244</v>
      </c>
      <c r="J33" s="84">
        <f>(H33+H33*'Demand Projection Final'!$Q$4)</f>
        <v>27167.602670498047</v>
      </c>
      <c r="K33" s="200">
        <f>J33/$J$52</f>
        <v>0.85053581536862</v>
      </c>
      <c r="L33" s="84">
        <f>(J33+J33*'Demand Projection Final'!$Q$4)</f>
        <v>28863.84743284103</v>
      </c>
      <c r="M33" s="200">
        <f>L33/$L$52</f>
        <v>0.85095665273110599</v>
      </c>
      <c r="N33" s="61"/>
    </row>
    <row r="34" spans="2:14" s="43" customFormat="1">
      <c r="B34" s="107">
        <v>2</v>
      </c>
      <c r="C34" s="10" t="s">
        <v>97</v>
      </c>
      <c r="D34" s="84">
        <f>AVERAGE('F2'!K56:O56,'F2'!D124:J124)</f>
        <v>910.1462373682624</v>
      </c>
      <c r="E34" s="200">
        <f t="shared" ref="E34:E51" si="7">D34/$D$52</f>
        <v>3.4103844548792436E-2</v>
      </c>
      <c r="F34" s="84">
        <f>(D34+D34*'Demand Projection Final'!$Q$5)</f>
        <v>972.57001312277851</v>
      </c>
      <c r="G34" s="200">
        <f t="shared" ref="G34:G51" si="8">F34/$F$52</f>
        <v>3.4326750214408175E-2</v>
      </c>
      <c r="H34" s="84">
        <f>(F34+F34*'Demand Projection Final'!$Q$5)</f>
        <v>1039.275219288651</v>
      </c>
      <c r="I34" s="200">
        <f t="shared" ref="I34:I51" si="9">H34/$H$52</f>
        <v>3.4548171312627038E-2</v>
      </c>
      <c r="J34" s="84">
        <f>(H34+H34*'Demand Projection Final'!$Q$5)</f>
        <v>1110.5555043378881</v>
      </c>
      <c r="K34" s="200">
        <f t="shared" ref="K34:K51" si="10">J34/$J$52</f>
        <v>3.4768148034639172E-2</v>
      </c>
      <c r="L34" s="84">
        <f>(J34+J34*'Demand Projection Final'!$Q$5)</f>
        <v>1186.7246570733751</v>
      </c>
      <c r="M34" s="200">
        <f t="shared" ref="M34:M51" si="11">L34/$L$52</f>
        <v>3.4986716315151697E-2</v>
      </c>
      <c r="N34" s="61"/>
    </row>
    <row r="35" spans="2:14" s="43" customFormat="1">
      <c r="B35" s="107">
        <v>3</v>
      </c>
      <c r="C35" s="10" t="s">
        <v>98</v>
      </c>
      <c r="D35" s="84">
        <f>AVERAGE('F2'!K57:O57,'F2'!D125:J125)</f>
        <v>1655.0274949930335</v>
      </c>
      <c r="E35" s="200">
        <f t="shared" si="7"/>
        <v>6.2015089549155543E-2</v>
      </c>
      <c r="F35" s="84">
        <f>(D35+D35*'Demand Projection Final'!$Q$6)</f>
        <v>1778.4325159970329</v>
      </c>
      <c r="G35" s="200">
        <f t="shared" si="8"/>
        <v>6.2769577435146426E-2</v>
      </c>
      <c r="H35" s="84">
        <f>(F35+F35*'Demand Projection Final'!$Q$6)</f>
        <v>1911.0390754981686</v>
      </c>
      <c r="I35" s="200">
        <f t="shared" si="9"/>
        <v>6.3527835687860995E-2</v>
      </c>
      <c r="J35" s="84">
        <f>(H35+H35*'Demand Projection Final'!$Q$6)</f>
        <v>2053.5332745158757</v>
      </c>
      <c r="K35" s="200">
        <f t="shared" si="10"/>
        <v>6.4289941928649869E-2</v>
      </c>
      <c r="L35" s="84">
        <f>(J35+J35*'Demand Projection Final'!$Q$6)</f>
        <v>2206.6523723198129</v>
      </c>
      <c r="M35" s="200">
        <f t="shared" si="11"/>
        <v>6.505596736053687E-2</v>
      </c>
      <c r="N35" s="44"/>
    </row>
    <row r="36" spans="2:14" s="43" customFormat="1">
      <c r="B36" s="107">
        <v>4</v>
      </c>
      <c r="C36" s="10" t="s">
        <v>99</v>
      </c>
      <c r="D36" s="84">
        <f>AVERAGE('F2'!K58:O58,'F2'!D126:J126)</f>
        <v>811.84709635118861</v>
      </c>
      <c r="E36" s="200">
        <f t="shared" si="7"/>
        <v>3.0420503908699593E-2</v>
      </c>
      <c r="F36" s="84">
        <f>(D36+D36*'Demand Projection Final'!$Q$7)</f>
        <v>823.52164456685011</v>
      </c>
      <c r="G36" s="200">
        <f t="shared" si="8"/>
        <v>2.9066104658561177E-2</v>
      </c>
      <c r="H36" s="84">
        <f>(F36+F36*'Demand Projection Final'!$Q$7)</f>
        <v>835.36407547452643</v>
      </c>
      <c r="I36" s="200">
        <f t="shared" si="9"/>
        <v>2.7769642393342304E-2</v>
      </c>
      <c r="J36" s="84">
        <f>(H36+H36*'Demand Projection Final'!$Q$7)</f>
        <v>847.37680326599241</v>
      </c>
      <c r="K36" s="200">
        <f t="shared" si="10"/>
        <v>2.6528815554010859E-2</v>
      </c>
      <c r="L36" s="84">
        <f>(J36+J36*'Demand Projection Final'!$Q$7)</f>
        <v>859.56227684965677</v>
      </c>
      <c r="M36" s="200">
        <f t="shared" si="11"/>
        <v>2.5341397733750302E-2</v>
      </c>
      <c r="N36" s="44"/>
    </row>
    <row r="37" spans="2:14" s="43" customFormat="1">
      <c r="B37" s="107">
        <v>5</v>
      </c>
      <c r="C37" s="10" t="s">
        <v>100</v>
      </c>
      <c r="D37" s="84">
        <f>AVERAGE('F2'!K59:O59,'F2'!D127:J127)</f>
        <v>506.54351686222435</v>
      </c>
      <c r="E37" s="200">
        <f t="shared" si="7"/>
        <v>1.8980555703026102E-2</v>
      </c>
      <c r="F37" s="84">
        <f>(D37+D37*'Demand Projection Final'!$Q$8)</f>
        <v>534.41338571650533</v>
      </c>
      <c r="G37" s="200">
        <f t="shared" si="8"/>
        <v>1.8862060885287437E-2</v>
      </c>
      <c r="H37" s="84">
        <f>(F37+F37*'Demand Projection Final'!$Q$8)</f>
        <v>563.81664620269635</v>
      </c>
      <c r="I37" s="200">
        <f t="shared" si="9"/>
        <v>1.8742710035224538E-2</v>
      </c>
      <c r="J37" s="84">
        <f>(H37+H37*'Demand Projection Final'!$Q$8)</f>
        <v>594.83766505783183</v>
      </c>
      <c r="K37" s="200">
        <f t="shared" si="10"/>
        <v>1.8622575742074269E-2</v>
      </c>
      <c r="L37" s="84">
        <f>(J37+J37*'Demand Projection Final'!$Q$8)</f>
        <v>627.56545085092807</v>
      </c>
      <c r="M37" s="200">
        <f t="shared" si="11"/>
        <v>1.8501725962498588E-2</v>
      </c>
      <c r="N37" s="44"/>
    </row>
    <row r="38" spans="2:14" s="40" customFormat="1">
      <c r="B38" s="107">
        <v>6</v>
      </c>
      <c r="C38" s="10" t="s">
        <v>101</v>
      </c>
      <c r="D38" s="84">
        <f>AVERAGE('F2'!K60:O60,'F2'!D128:J128)</f>
        <v>9.4507539347799021</v>
      </c>
      <c r="E38" s="200">
        <f t="shared" si="7"/>
        <v>3.5412665550603239E-4</v>
      </c>
      <c r="F38" s="84">
        <f>(D38+D38*'Demand Projection Final'!$Q$9)</f>
        <v>9.647068090235507</v>
      </c>
      <c r="G38" s="200">
        <f t="shared" si="8"/>
        <v>3.4049219302127184E-4</v>
      </c>
      <c r="H38" s="84">
        <f>(F38+F38*'Demand Projection Final'!$Q$9)</f>
        <v>9.8474601476128232</v>
      </c>
      <c r="I38" s="200">
        <f t="shared" si="9"/>
        <v>3.2735480829308993E-4</v>
      </c>
      <c r="J38" s="84">
        <f>(H38+H38*'Demand Projection Final'!$Q$9)</f>
        <v>10.052014814425908</v>
      </c>
      <c r="K38" s="200">
        <f t="shared" si="10"/>
        <v>3.1469830886364519E-4</v>
      </c>
      <c r="L38" s="84">
        <f>(J38+J38*'Demand Projection Final'!$Q$9)</f>
        <v>10.260818557761038</v>
      </c>
      <c r="M38" s="200">
        <f t="shared" si="11"/>
        <v>3.025068586060675E-4</v>
      </c>
      <c r="N38" s="59"/>
    </row>
    <row r="39" spans="2:14">
      <c r="B39" s="107">
        <v>7</v>
      </c>
      <c r="C39" s="10" t="s">
        <v>102</v>
      </c>
      <c r="D39" s="84">
        <f>AVERAGE('F2'!K61:O61,'F2'!D129:J129)</f>
        <v>4.7613692735785582</v>
      </c>
      <c r="E39" s="200">
        <f t="shared" si="7"/>
        <v>1.7841198576511557E-4</v>
      </c>
      <c r="F39" s="84">
        <f>(D39+D39*'Demand Projection Final'!$Q$10)</f>
        <v>4.9000987520471337</v>
      </c>
      <c r="G39" s="200">
        <f t="shared" si="8"/>
        <v>1.7294843930811265E-4</v>
      </c>
      <c r="H39" s="84">
        <f>(F39+F39*'Demand Projection Final'!$Q$10)</f>
        <v>5.0428703173798723</v>
      </c>
      <c r="I39" s="200">
        <f t="shared" si="9"/>
        <v>1.6763793112612729E-4</v>
      </c>
      <c r="J39" s="84">
        <f>(H39+H39*'Demand Projection Final'!$Q$10)</f>
        <v>5.189801741707095</v>
      </c>
      <c r="K39" s="200">
        <f t="shared" si="10"/>
        <v>1.6247706172387889E-4</v>
      </c>
      <c r="L39" s="84">
        <f>(J39+J39*'Demand Projection Final'!$Q$10)</f>
        <v>5.3410142286229032</v>
      </c>
      <c r="M39" s="200">
        <f t="shared" si="11"/>
        <v>1.5746243118673525E-4</v>
      </c>
      <c r="N39" s="56"/>
    </row>
    <row r="40" spans="2:14">
      <c r="B40" s="107">
        <v>8</v>
      </c>
      <c r="C40" s="10" t="s">
        <v>103</v>
      </c>
      <c r="D40" s="84">
        <f>AVERAGE('F2'!K62:O62,'F2'!D130:J130)</f>
        <v>5.2546953107476844</v>
      </c>
      <c r="E40" s="200">
        <f t="shared" si="7"/>
        <v>1.9689727284616322E-4</v>
      </c>
      <c r="F40" s="84">
        <f>(D40+D40*'Demand Projection Final'!$Q$11)</f>
        <v>5.3597556735183662</v>
      </c>
      <c r="G40" s="200">
        <f t="shared" si="8"/>
        <v>1.8917197911991941E-4</v>
      </c>
      <c r="H40" s="84">
        <f>(F40+F40*'Demand Projection Final'!$Q$11)</f>
        <v>5.4669165728897013</v>
      </c>
      <c r="I40" s="200">
        <f t="shared" si="9"/>
        <v>1.8173431522913616E-4</v>
      </c>
      <c r="J40" s="84">
        <f>(H40+H40*'Demand Projection Final'!$Q$11)</f>
        <v>5.5762200061848892</v>
      </c>
      <c r="K40" s="200">
        <f t="shared" si="10"/>
        <v>1.7457465375793241E-4</v>
      </c>
      <c r="L40" s="84">
        <f>(J40+J40*'Demand Projection Final'!$Q$11)</f>
        <v>5.6877088104055016</v>
      </c>
      <c r="M40" s="200">
        <f t="shared" si="11"/>
        <v>1.6768359319641442E-4</v>
      </c>
      <c r="N40" s="56"/>
    </row>
    <row r="41" spans="2:14">
      <c r="B41" s="107">
        <v>9</v>
      </c>
      <c r="C41" s="10" t="s">
        <v>104</v>
      </c>
      <c r="D41" s="84">
        <f>AVERAGE('F2'!K63:O63,'F2'!D131:J131)</f>
        <v>7.7174328814862889</v>
      </c>
      <c r="E41" s="200">
        <f t="shared" si="7"/>
        <v>2.8917784911904694E-4</v>
      </c>
      <c r="F41" s="84">
        <f>(D41+D41*'Demand Projection Final'!$Q$12)</f>
        <v>9.1783141991477848</v>
      </c>
      <c r="G41" s="200">
        <f t="shared" si="8"/>
        <v>3.2394757668076287E-4</v>
      </c>
      <c r="H41" s="84">
        <f>(F41+F41*'Demand Projection Final'!$Q$12)</f>
        <v>10.915734912365561</v>
      </c>
      <c r="I41" s="200">
        <f t="shared" si="9"/>
        <v>3.6286699880495025E-4</v>
      </c>
      <c r="J41" s="84">
        <f>(H41+H41*'Demand Projection Final'!$Q$12)</f>
        <v>12.982042899348542</v>
      </c>
      <c r="K41" s="200">
        <f t="shared" si="10"/>
        <v>4.0642866345134884E-4</v>
      </c>
      <c r="L41" s="84">
        <f>(J41+J41*'Demand Projection Final'!$Q$12)</f>
        <v>15.439495296794711</v>
      </c>
      <c r="M41" s="200">
        <f t="shared" si="11"/>
        <v>4.5518329696648104E-4</v>
      </c>
      <c r="N41" s="56"/>
    </row>
    <row r="42" spans="2:14">
      <c r="B42" s="107">
        <v>10</v>
      </c>
      <c r="C42" s="10" t="s">
        <v>105</v>
      </c>
      <c r="D42" s="84">
        <f>AVERAGE('F2'!K64:O64,'F2'!D132:J132)</f>
        <v>13.595734156852755</v>
      </c>
      <c r="E42" s="200">
        <f t="shared" si="7"/>
        <v>5.0944209312201512E-4</v>
      </c>
      <c r="F42" s="84">
        <f>(D42+D42*'Demand Projection Final'!$Q$13)</f>
        <v>14.683392889400977</v>
      </c>
      <c r="G42" s="200">
        <f t="shared" si="8"/>
        <v>5.1824871547921625E-4</v>
      </c>
      <c r="H42" s="84">
        <f>(F42+F42*'Demand Projection Final'!$Q$13)</f>
        <v>15.858064320553057</v>
      </c>
      <c r="I42" s="200">
        <f t="shared" si="9"/>
        <v>5.2716269248498219E-4</v>
      </c>
      <c r="J42" s="84">
        <f>(H42+H42*'Demand Projection Final'!$Q$13)</f>
        <v>17.126709466197301</v>
      </c>
      <c r="K42" s="200">
        <f t="shared" si="10"/>
        <v>5.3618569062157664E-4</v>
      </c>
      <c r="L42" s="84">
        <f>(J42+J42*'Demand Projection Final'!$Q$13)</f>
        <v>18.496846223493087</v>
      </c>
      <c r="M42" s="200">
        <f t="shared" si="11"/>
        <v>5.4531934403577898E-4</v>
      </c>
      <c r="N42" s="56"/>
    </row>
    <row r="43" spans="2:14">
      <c r="B43" s="107">
        <v>11</v>
      </c>
      <c r="C43" s="10" t="s">
        <v>106</v>
      </c>
      <c r="D43" s="84">
        <f>AVERAGE('F2'!K65:O65,'F2'!D133:J133)</f>
        <v>8.1047084000753422</v>
      </c>
      <c r="E43" s="200">
        <f t="shared" si="7"/>
        <v>3.0368934577886339E-4</v>
      </c>
      <c r="F43" s="84">
        <f>(D43+D43*'Demand Projection Final'!$Q$14)</f>
        <v>8.1047084000753422</v>
      </c>
      <c r="G43" s="200">
        <f t="shared" si="8"/>
        <v>2.8605477966230552E-4</v>
      </c>
      <c r="H43" s="84">
        <f>(F43+F43*'Demand Projection Final'!$Q$14)</f>
        <v>8.1047084000753422</v>
      </c>
      <c r="I43" s="200">
        <f t="shared" si="9"/>
        <v>2.6942127460360585E-4</v>
      </c>
      <c r="J43" s="84">
        <f>(H43+H43*'Demand Projection Final'!$Q$14)</f>
        <v>8.1047084000753422</v>
      </c>
      <c r="K43" s="200">
        <f t="shared" si="10"/>
        <v>2.5373400998935519E-4</v>
      </c>
      <c r="L43" s="84">
        <f>(J43+J43*'Demand Projection Final'!$Q$14)</f>
        <v>8.1047084000753422</v>
      </c>
      <c r="M43" s="200">
        <f t="shared" si="11"/>
        <v>2.3894096403942057E-4</v>
      </c>
      <c r="N43" s="56"/>
    </row>
    <row r="44" spans="2:14">
      <c r="B44" s="107">
        <v>12</v>
      </c>
      <c r="C44" s="10" t="s">
        <v>107</v>
      </c>
      <c r="D44" s="84">
        <f>AVERAGE('F2'!K66:O66,'F2'!D134:J134)</f>
        <v>5.4362904073447176</v>
      </c>
      <c r="E44" s="200">
        <f t="shared" si="7"/>
        <v>2.0370177380534516E-4</v>
      </c>
      <c r="F44" s="84">
        <f>(D44+D44*'Demand Projection Final'!$Q$15)</f>
        <v>5.4362904073447176</v>
      </c>
      <c r="G44" s="200">
        <f t="shared" si="8"/>
        <v>1.9187326402006545E-4</v>
      </c>
      <c r="H44" s="84">
        <f>(F44+F44*'Demand Projection Final'!$Q$15)</f>
        <v>5.4362904073447176</v>
      </c>
      <c r="I44" s="200">
        <f t="shared" si="9"/>
        <v>1.8071622301038664E-4</v>
      </c>
      <c r="J44" s="84">
        <f>(H44+H44*'Demand Projection Final'!$Q$15)</f>
        <v>5.4362904073447176</v>
      </c>
      <c r="K44" s="200">
        <f t="shared" si="10"/>
        <v>1.7019387946263652E-4</v>
      </c>
      <c r="L44" s="84">
        <f>(J44+J44*'Demand Projection Final'!$Q$15)</f>
        <v>5.4362904073447176</v>
      </c>
      <c r="M44" s="200">
        <f t="shared" si="11"/>
        <v>1.6027133940033252E-4</v>
      </c>
      <c r="N44" s="56"/>
    </row>
    <row r="45" spans="2:14">
      <c r="B45" s="107">
        <v>13</v>
      </c>
      <c r="C45" s="10" t="s">
        <v>108</v>
      </c>
      <c r="D45" s="84">
        <f>AVERAGE('F2'!K67:O67,'F2'!D135:J135)</f>
        <v>1.5247287308021791</v>
      </c>
      <c r="E45" s="200">
        <f t="shared" si="7"/>
        <v>5.7132699646941769E-5</v>
      </c>
      <c r="F45" s="84">
        <f>(D45+D45*'Demand Projection Final'!$Q$16)</f>
        <v>1.7054392350565275</v>
      </c>
      <c r="G45" s="200">
        <f t="shared" si="8"/>
        <v>6.0193287719890174E-5</v>
      </c>
      <c r="H45" s="84">
        <f>(F45+F45*'Demand Projection Final'!$Q$16)</f>
        <v>1.9075675073952223</v>
      </c>
      <c r="I45" s="200">
        <f t="shared" si="9"/>
        <v>6.3412431868624231E-5</v>
      </c>
      <c r="J45" s="84">
        <f>(H45+H45*'Demand Projection Final'!$Q$16)</f>
        <v>2.1336519768465463</v>
      </c>
      <c r="K45" s="200">
        <f t="shared" si="10"/>
        <v>6.6798217194582394E-5</v>
      </c>
      <c r="L45" s="84">
        <f>(J45+J45*'Demand Projection Final'!$Q$16)</f>
        <v>2.3865319264729772</v>
      </c>
      <c r="M45" s="200">
        <f t="shared" si="11"/>
        <v>7.035913089939272E-5</v>
      </c>
      <c r="N45" s="56"/>
    </row>
    <row r="46" spans="2:14">
      <c r="B46" s="107">
        <v>14</v>
      </c>
      <c r="C46" s="10" t="s">
        <v>109</v>
      </c>
      <c r="D46" s="84">
        <f>AVERAGE('F2'!K68:O68,'F2'!D136:J136)</f>
        <v>0.60498985597579935</v>
      </c>
      <c r="E46" s="200">
        <f t="shared" si="7"/>
        <v>2.2669411963350998E-5</v>
      </c>
      <c r="F46" s="84">
        <f>(D46+D46*'Demand Projection Final'!$Q$17)</f>
        <v>0.63555822495693004</v>
      </c>
      <c r="G46" s="200">
        <f t="shared" si="8"/>
        <v>2.2431956713079346E-5</v>
      </c>
      <c r="H46" s="84">
        <f>(F46+F46*'Demand Projection Final'!$Q$17)</f>
        <v>0.66767112426850628</v>
      </c>
      <c r="I46" s="200">
        <f t="shared" si="9"/>
        <v>2.2195099001312773E-5</v>
      </c>
      <c r="J46" s="84">
        <f>(H46+H46*'Demand Projection Final'!$Q$17)</f>
        <v>0.70140659451332055</v>
      </c>
      <c r="K46" s="200">
        <f t="shared" si="10"/>
        <v>2.1958927955654526E-5</v>
      </c>
      <c r="L46" s="84">
        <f>(J46+J46*'Demand Projection Final'!$Q$17)</f>
        <v>0.73684661945770435</v>
      </c>
      <c r="M46" s="200">
        <f t="shared" si="11"/>
        <v>2.1723525747178671E-5</v>
      </c>
      <c r="N46" s="56"/>
    </row>
    <row r="47" spans="2:14">
      <c r="B47" s="107">
        <v>15</v>
      </c>
      <c r="C47" s="10" t="s">
        <v>110</v>
      </c>
      <c r="D47" s="84">
        <f>AVERAGE('F2'!K69:O69,'F2'!D137:J137)</f>
        <v>27.811180341327091</v>
      </c>
      <c r="E47" s="200">
        <f t="shared" si="7"/>
        <v>1.0421052487362898E-3</v>
      </c>
      <c r="F47" s="84">
        <f>(D47+D47*'Demand Projection Final'!$Q$18)</f>
        <v>29.017967451535803</v>
      </c>
      <c r="G47" s="200">
        <f t="shared" si="8"/>
        <v>1.0241859269754681E-3</v>
      </c>
      <c r="H47" s="84">
        <f>(F47+F47*'Demand Projection Final'!$Q$18)</f>
        <v>30.277119657777558</v>
      </c>
      <c r="I47" s="200">
        <f t="shared" si="9"/>
        <v>1.0064890390687577E-3</v>
      </c>
      <c r="J47" s="84">
        <f>(H47+H47*'Demand Projection Final'!$Q$18)</f>
        <v>31.590909194532948</v>
      </c>
      <c r="K47" s="200">
        <f t="shared" si="10"/>
        <v>9.8901622038171321E-4</v>
      </c>
      <c r="L47" s="84">
        <f>(J47+J47*'Demand Projection Final'!$Q$18)</f>
        <v>32.961706893438418</v>
      </c>
      <c r="M47" s="200">
        <f t="shared" si="11"/>
        <v>9.7176870933811442E-4</v>
      </c>
      <c r="N47" s="56"/>
    </row>
    <row r="48" spans="2:14">
      <c r="B48" s="68">
        <v>16</v>
      </c>
      <c r="C48" s="65" t="s">
        <v>111</v>
      </c>
      <c r="D48" s="84">
        <f>AVERAGE('F2'!G138:J138)</f>
        <v>15.168212673689592</v>
      </c>
      <c r="E48" s="200">
        <f t="shared" si="7"/>
        <v>5.6836401214195868E-4</v>
      </c>
      <c r="F48" s="84">
        <f>(D48+D48*'Demand Projection Final'!$Q$19)</f>
        <v>15.764169893435076</v>
      </c>
      <c r="G48" s="200">
        <f t="shared" si="8"/>
        <v>5.5639461937752148E-4</v>
      </c>
      <c r="H48" s="84">
        <f>(F48+F48*'Demand Projection Final'!$Q$19)</f>
        <v>16.38354219941434</v>
      </c>
      <c r="I48" s="200">
        <f t="shared" si="9"/>
        <v>5.4463092365508693E-4</v>
      </c>
      <c r="J48" s="84">
        <f>(H48+H48*'Demand Projection Final'!$Q$19)</f>
        <v>17.0272495675001</v>
      </c>
      <c r="K48" s="200">
        <f t="shared" si="10"/>
        <v>5.3307190074983473E-4</v>
      </c>
      <c r="L48" s="84">
        <f>(J48+J48*'Demand Projection Final'!$Q$19)</f>
        <v>17.696248119304524</v>
      </c>
      <c r="M48" s="200">
        <f t="shared" si="11"/>
        <v>5.2171631313325216E-4</v>
      </c>
      <c r="N48" s="56"/>
    </row>
    <row r="49" spans="2:14">
      <c r="B49" s="68">
        <v>17</v>
      </c>
      <c r="C49" s="65" t="s">
        <v>112</v>
      </c>
      <c r="D49" s="84">
        <f>AVERAGE('F2'!G139:J139)</f>
        <v>10.621618110528988</v>
      </c>
      <c r="E49" s="200">
        <f t="shared" si="7"/>
        <v>3.9799979170990159E-4</v>
      </c>
      <c r="F49" s="84">
        <f>(D49+D49*'Demand Projection Final'!$Q$20)</f>
        <v>11.03894018627553</v>
      </c>
      <c r="G49" s="200">
        <f t="shared" si="8"/>
        <v>3.8961816351851253E-4</v>
      </c>
      <c r="H49" s="84">
        <f>(F49+F49*'Demand Projection Final'!$Q$20)</f>
        <v>11.472658795308536</v>
      </c>
      <c r="I49" s="200">
        <f t="shared" si="9"/>
        <v>3.8138057572750686E-4</v>
      </c>
      <c r="J49" s="84">
        <f>(H49+H49*'Demand Projection Final'!$Q$20)</f>
        <v>11.923418155414312</v>
      </c>
      <c r="K49" s="200">
        <f t="shared" si="10"/>
        <v>3.7328631111824213E-4</v>
      </c>
      <c r="L49" s="84">
        <f>(J49+J49*'Demand Projection Final'!$Q$20)</f>
        <v>12.391887795617155</v>
      </c>
      <c r="M49" s="200">
        <f t="shared" si="11"/>
        <v>3.6533450310508004E-4</v>
      </c>
      <c r="N49" s="56"/>
    </row>
    <row r="50" spans="2:14">
      <c r="B50" s="68">
        <v>18</v>
      </c>
      <c r="C50" s="65" t="s">
        <v>167</v>
      </c>
      <c r="D50" s="84">
        <v>20</v>
      </c>
      <c r="E50" s="200">
        <f t="shared" si="7"/>
        <v>7.4941461379669197E-4</v>
      </c>
      <c r="F50" s="84">
        <v>20</v>
      </c>
      <c r="G50" s="200">
        <f t="shared" si="8"/>
        <v>7.0589777088006359E-4</v>
      </c>
      <c r="H50" s="84">
        <v>20</v>
      </c>
      <c r="I50" s="200">
        <f t="shared" si="9"/>
        <v>6.6485124770460904E-4</v>
      </c>
      <c r="J50" s="84">
        <v>20</v>
      </c>
      <c r="K50" s="200">
        <f t="shared" si="10"/>
        <v>6.2613976336766536E-4</v>
      </c>
      <c r="L50" s="84">
        <v>20</v>
      </c>
      <c r="M50" s="200">
        <f t="shared" si="11"/>
        <v>5.896349436512715E-4</v>
      </c>
      <c r="N50" s="56"/>
    </row>
    <row r="51" spans="2:14">
      <c r="B51" s="68">
        <v>19</v>
      </c>
      <c r="C51" s="65" t="s">
        <v>168</v>
      </c>
      <c r="D51" s="84">
        <v>20</v>
      </c>
      <c r="E51" s="200">
        <f t="shared" si="7"/>
        <v>7.4941461379669197E-4</v>
      </c>
      <c r="F51" s="84">
        <v>20</v>
      </c>
      <c r="G51" s="200">
        <f t="shared" si="8"/>
        <v>7.0589777088006359E-4</v>
      </c>
      <c r="H51" s="84">
        <v>20</v>
      </c>
      <c r="I51" s="200">
        <f t="shared" si="9"/>
        <v>6.6485124770460904E-4</v>
      </c>
      <c r="J51" s="84">
        <v>20</v>
      </c>
      <c r="K51" s="200">
        <f t="shared" si="10"/>
        <v>6.2613976336766536E-4</v>
      </c>
      <c r="L51" s="84">
        <v>20</v>
      </c>
      <c r="M51" s="200">
        <f t="shared" si="11"/>
        <v>5.896349436512715E-4</v>
      </c>
      <c r="N51" s="56"/>
    </row>
    <row r="52" spans="2:14" s="37" customFormat="1">
      <c r="B52" s="89"/>
      <c r="C52" s="90" t="s">
        <v>165</v>
      </c>
      <c r="D52" s="180">
        <f>SUM(D33:D51)</f>
        <v>26687.496656458025</v>
      </c>
      <c r="E52" s="95">
        <f t="shared" ref="E52:M52" si="12">SUM(E33:E51)</f>
        <v>0.99999999999999978</v>
      </c>
      <c r="F52" s="180">
        <f t="shared" si="12"/>
        <v>28332.71448791432</v>
      </c>
      <c r="G52" s="95">
        <f t="shared" si="12"/>
        <v>1</v>
      </c>
      <c r="H52" s="180">
        <f t="shared" si="12"/>
        <v>30081.916923597211</v>
      </c>
      <c r="I52" s="95">
        <f t="shared" si="12"/>
        <v>1.0000000000000002</v>
      </c>
      <c r="J52" s="180">
        <f t="shared" si="12"/>
        <v>31941.750340899729</v>
      </c>
      <c r="K52" s="95">
        <f t="shared" si="12"/>
        <v>0.99999999999999978</v>
      </c>
      <c r="L52" s="180">
        <f t="shared" si="12"/>
        <v>33919.292293213584</v>
      </c>
      <c r="M52" s="251">
        <f t="shared" si="12"/>
        <v>1.0000000000000002</v>
      </c>
      <c r="N52" s="89"/>
    </row>
    <row r="55" spans="2:14">
      <c r="D55" s="244"/>
      <c r="E55" s="243"/>
      <c r="F55" s="243"/>
      <c r="G55" s="243"/>
      <c r="H55" s="243"/>
      <c r="I55" s="243"/>
      <c r="J55" s="243"/>
      <c r="K55" s="243"/>
      <c r="L55" s="243"/>
      <c r="M55" s="243"/>
    </row>
    <row r="59" spans="2:14">
      <c r="D59" s="391"/>
      <c r="E59" s="392"/>
      <c r="F59" s="391"/>
      <c r="G59" s="392"/>
      <c r="H59" s="391"/>
      <c r="I59" s="392"/>
      <c r="J59" s="391"/>
      <c r="K59" s="392"/>
      <c r="L59" s="391"/>
      <c r="M59" s="392"/>
    </row>
    <row r="60" spans="2:14">
      <c r="D60" s="393"/>
      <c r="E60" s="392"/>
      <c r="F60" s="393"/>
      <c r="G60" s="392"/>
      <c r="H60" s="391"/>
      <c r="I60" s="392"/>
      <c r="J60" s="391"/>
      <c r="K60" s="392"/>
      <c r="L60" s="391"/>
      <c r="M60" s="392"/>
    </row>
    <row r="61" spans="2:14">
      <c r="D61" s="391"/>
      <c r="E61" s="392"/>
      <c r="F61" s="391"/>
      <c r="G61" s="392"/>
      <c r="H61" s="391"/>
      <c r="I61" s="392"/>
      <c r="J61" s="391"/>
      <c r="K61" s="392"/>
      <c r="L61" s="391"/>
      <c r="M61" s="392"/>
    </row>
    <row r="62" spans="2:14">
      <c r="D62" s="393"/>
      <c r="E62" s="392"/>
      <c r="F62" s="393"/>
      <c r="G62" s="392"/>
      <c r="H62" s="393"/>
      <c r="I62" s="392"/>
      <c r="J62" s="393"/>
      <c r="K62" s="392"/>
      <c r="L62" s="393"/>
      <c r="M62" s="392"/>
    </row>
    <row r="63" spans="2:14">
      <c r="D63" s="393"/>
      <c r="E63" s="392"/>
      <c r="F63" s="393"/>
      <c r="G63" s="392"/>
      <c r="H63" s="393"/>
      <c r="I63" s="392"/>
      <c r="J63" s="393"/>
      <c r="K63" s="392"/>
      <c r="L63" s="393"/>
      <c r="M63" s="392"/>
    </row>
    <row r="64" spans="2:14">
      <c r="D64" s="393"/>
      <c r="E64" s="392"/>
      <c r="F64" s="393"/>
      <c r="G64" s="392"/>
      <c r="H64" s="393"/>
      <c r="I64" s="392"/>
      <c r="J64" s="393"/>
      <c r="K64" s="392"/>
      <c r="L64" s="393"/>
      <c r="M64" s="392"/>
    </row>
    <row r="65" spans="4:13">
      <c r="D65" s="393"/>
      <c r="E65" s="392"/>
      <c r="F65" s="393"/>
      <c r="G65" s="392"/>
      <c r="H65" s="393"/>
      <c r="I65" s="392"/>
      <c r="J65" s="393"/>
      <c r="K65" s="392"/>
      <c r="L65" s="393"/>
      <c r="M65" s="392"/>
    </row>
    <row r="66" spans="4:13">
      <c r="D66" s="393"/>
      <c r="E66" s="392"/>
      <c r="F66" s="393"/>
      <c r="G66" s="392"/>
      <c r="H66" s="393"/>
      <c r="I66" s="392"/>
      <c r="J66" s="393"/>
      <c r="K66" s="392"/>
      <c r="L66" s="393"/>
      <c r="M66" s="392"/>
    </row>
    <row r="67" spans="4:13">
      <c r="D67" s="393"/>
      <c r="E67" s="392"/>
      <c r="F67" s="393"/>
      <c r="G67" s="392"/>
      <c r="H67" s="393"/>
      <c r="I67" s="392"/>
      <c r="J67" s="393"/>
      <c r="K67" s="392"/>
      <c r="L67" s="393"/>
      <c r="M67" s="392"/>
    </row>
    <row r="68" spans="4:13">
      <c r="D68" s="393"/>
      <c r="E68" s="392"/>
      <c r="F68" s="393"/>
      <c r="G68" s="392"/>
      <c r="H68" s="393"/>
      <c r="I68" s="392"/>
      <c r="J68" s="393"/>
      <c r="K68" s="392"/>
      <c r="L68" s="393"/>
      <c r="M68" s="392"/>
    </row>
    <row r="69" spans="4:13">
      <c r="D69" s="393"/>
      <c r="E69" s="392"/>
      <c r="F69" s="393"/>
      <c r="G69" s="392"/>
      <c r="H69" s="393"/>
      <c r="I69" s="392"/>
      <c r="J69" s="393"/>
      <c r="K69" s="392"/>
      <c r="L69" s="393"/>
      <c r="M69" s="392"/>
    </row>
    <row r="70" spans="4:13">
      <c r="D70" s="393"/>
      <c r="E70" s="392"/>
      <c r="F70" s="393"/>
      <c r="G70" s="392"/>
      <c r="H70" s="393"/>
      <c r="I70" s="392"/>
      <c r="J70" s="393"/>
      <c r="K70" s="392"/>
      <c r="L70" s="393"/>
      <c r="M70" s="392"/>
    </row>
    <row r="71" spans="4:13">
      <c r="D71" s="393"/>
      <c r="E71" s="392"/>
      <c r="F71" s="393"/>
      <c r="G71" s="392"/>
      <c r="H71" s="393"/>
      <c r="I71" s="392"/>
      <c r="J71" s="393"/>
      <c r="K71" s="392"/>
      <c r="L71" s="393"/>
      <c r="M71" s="392"/>
    </row>
    <row r="72" spans="4:13">
      <c r="D72" s="393"/>
      <c r="E72" s="392"/>
      <c r="F72" s="393"/>
      <c r="G72" s="392"/>
      <c r="H72" s="393"/>
      <c r="I72" s="392"/>
      <c r="J72" s="393"/>
      <c r="K72" s="392"/>
      <c r="L72" s="393"/>
      <c r="M72" s="392"/>
    </row>
    <row r="73" spans="4:13">
      <c r="D73" s="393"/>
      <c r="E73" s="392"/>
      <c r="F73" s="393"/>
      <c r="G73" s="392"/>
      <c r="H73" s="393"/>
      <c r="I73" s="392"/>
      <c r="J73" s="393"/>
      <c r="K73" s="392"/>
      <c r="L73" s="393"/>
      <c r="M73" s="392"/>
    </row>
    <row r="74" spans="4:13">
      <c r="D74" s="393"/>
      <c r="E74" s="392"/>
      <c r="F74" s="393"/>
      <c r="G74" s="392"/>
      <c r="H74" s="393"/>
      <c r="I74" s="392"/>
      <c r="J74" s="393"/>
      <c r="K74" s="392"/>
      <c r="L74" s="393"/>
      <c r="M74" s="392"/>
    </row>
    <row r="75" spans="4:13">
      <c r="D75" s="393"/>
      <c r="E75" s="392"/>
      <c r="F75" s="393"/>
      <c r="G75" s="392"/>
      <c r="H75" s="393"/>
      <c r="I75" s="392"/>
      <c r="J75" s="393"/>
      <c r="K75" s="392"/>
      <c r="L75" s="393"/>
      <c r="M75" s="392"/>
    </row>
    <row r="76" spans="4:13">
      <c r="D76" s="393"/>
      <c r="E76" s="392"/>
      <c r="F76" s="393"/>
      <c r="G76" s="392"/>
      <c r="H76" s="393"/>
      <c r="I76" s="392"/>
      <c r="J76" s="393"/>
      <c r="K76" s="392"/>
      <c r="L76" s="393"/>
      <c r="M76" s="392"/>
    </row>
    <row r="77" spans="4:13">
      <c r="D77" s="393"/>
      <c r="E77" s="392"/>
      <c r="F77" s="393"/>
      <c r="G77" s="392"/>
      <c r="H77" s="393"/>
      <c r="I77" s="392"/>
      <c r="J77" s="393"/>
      <c r="K77" s="392"/>
      <c r="L77" s="393"/>
      <c r="M77" s="392"/>
    </row>
    <row r="78" spans="4:13">
      <c r="D78" s="394"/>
      <c r="E78" s="395"/>
      <c r="F78" s="394"/>
      <c r="G78" s="395"/>
      <c r="H78" s="394"/>
      <c r="I78" s="395"/>
      <c r="J78" s="394"/>
      <c r="K78" s="395"/>
      <c r="L78" s="394"/>
      <c r="M78" s="396"/>
    </row>
  </sheetData>
  <mergeCells count="24">
    <mergeCell ref="L8:O8"/>
    <mergeCell ref="P8:P10"/>
    <mergeCell ref="D9:E9"/>
    <mergeCell ref="F9:G9"/>
    <mergeCell ref="H9:I9"/>
    <mergeCell ref="J9:K9"/>
    <mergeCell ref="L9:M9"/>
    <mergeCell ref="N9:O9"/>
    <mergeCell ref="N30:N32"/>
    <mergeCell ref="B30:B32"/>
    <mergeCell ref="C30:C32"/>
    <mergeCell ref="D30:M30"/>
    <mergeCell ref="B2:M2"/>
    <mergeCell ref="B3:M3"/>
    <mergeCell ref="B4:M4"/>
    <mergeCell ref="D31:E31"/>
    <mergeCell ref="F31:G31"/>
    <mergeCell ref="H31:I31"/>
    <mergeCell ref="J31:K31"/>
    <mergeCell ref="L31:M31"/>
    <mergeCell ref="B8:B10"/>
    <mergeCell ref="C8:C10"/>
    <mergeCell ref="D8:G8"/>
    <mergeCell ref="H8:K8"/>
  </mergeCells>
  <phoneticPr fontId="16" type="noConversion"/>
  <pageMargins left="1.02" right="0.25" top="1" bottom="1" header="0.25" footer="0.25"/>
  <pageSetup paperSize="9" scale="46" orientation="landscape" r:id="rId1"/>
  <headerFooter alignWithMargins="0">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6FA9-93D3-440D-AA03-4B5C9681F0C9}">
  <sheetPr>
    <pageSetUpPr fitToPage="1"/>
  </sheetPr>
  <dimension ref="B1:S55"/>
  <sheetViews>
    <sheetView showGridLines="0" zoomScale="66" zoomScaleNormal="85" zoomScaleSheetLayoutView="53" workbookViewId="0">
      <selection activeCell="G1" sqref="G1"/>
    </sheetView>
  </sheetViews>
  <sheetFormatPr defaultColWidth="9.140625" defaultRowHeight="13.9"/>
  <cols>
    <col min="1" max="1" width="4.140625" style="36" customWidth="1"/>
    <col min="2" max="2" width="6.28515625" style="36" customWidth="1"/>
    <col min="3" max="3" width="46.5703125" style="36" customWidth="1"/>
    <col min="4" max="13" width="18.140625" style="36" customWidth="1"/>
    <col min="14" max="14" width="14.5703125" style="36" customWidth="1"/>
    <col min="15" max="15" width="12.85546875" style="36" customWidth="1"/>
    <col min="16" max="17" width="9.140625" style="36"/>
    <col min="18" max="22" width="19.140625" style="36" customWidth="1"/>
    <col min="23" max="16384" width="9.140625" style="36"/>
  </cols>
  <sheetData>
    <row r="1" spans="2:19">
      <c r="B1" s="39"/>
    </row>
    <row r="2" spans="2:19" ht="15.6">
      <c r="B2" s="409" t="s">
        <v>19</v>
      </c>
      <c r="C2" s="409"/>
      <c r="D2" s="409"/>
      <c r="E2" s="409"/>
      <c r="F2" s="409"/>
      <c r="G2" s="409"/>
      <c r="H2" s="409"/>
      <c r="I2" s="409"/>
      <c r="J2" s="409"/>
      <c r="K2" s="409"/>
      <c r="L2" s="409"/>
      <c r="M2" s="409"/>
    </row>
    <row r="3" spans="2:19" ht="15.6">
      <c r="B3" s="410" t="s">
        <v>1</v>
      </c>
      <c r="C3" s="410"/>
      <c r="D3" s="410"/>
      <c r="E3" s="410"/>
      <c r="F3" s="410"/>
      <c r="G3" s="410"/>
      <c r="H3" s="410"/>
      <c r="I3" s="410"/>
      <c r="J3" s="410"/>
      <c r="K3" s="410"/>
      <c r="L3" s="410"/>
      <c r="M3" s="410"/>
    </row>
    <row r="4" spans="2:19" ht="15.6">
      <c r="B4" s="409" t="s">
        <v>169</v>
      </c>
      <c r="C4" s="409"/>
      <c r="D4" s="409"/>
      <c r="E4" s="409"/>
      <c r="F4" s="409"/>
      <c r="G4" s="409"/>
      <c r="H4" s="409"/>
      <c r="I4" s="409"/>
      <c r="J4" s="409"/>
      <c r="K4" s="409"/>
      <c r="L4" s="409"/>
      <c r="M4" s="409"/>
    </row>
    <row r="5" spans="2:19">
      <c r="B5" s="37"/>
      <c r="C5" s="47"/>
      <c r="D5" s="47"/>
    </row>
    <row r="6" spans="2:19">
      <c r="B6" s="37"/>
      <c r="C6" s="47"/>
      <c r="D6" s="47"/>
    </row>
    <row r="7" spans="2:19">
      <c r="B7" s="37"/>
      <c r="C7" s="47"/>
      <c r="D7" s="47"/>
    </row>
    <row r="8" spans="2:19">
      <c r="B8" s="37"/>
      <c r="C8" s="73" t="s">
        <v>159</v>
      </c>
      <c r="D8" s="47"/>
    </row>
    <row r="9" spans="2:19">
      <c r="B9" s="37"/>
      <c r="C9" s="47"/>
      <c r="D9" s="47"/>
    </row>
    <row r="10" spans="2:19">
      <c r="B10" s="411" t="s">
        <v>2</v>
      </c>
      <c r="C10" s="415" t="s">
        <v>82</v>
      </c>
      <c r="D10" s="411" t="s">
        <v>51</v>
      </c>
      <c r="E10" s="411"/>
      <c r="F10" s="411"/>
      <c r="G10" s="411"/>
      <c r="H10" s="411" t="s">
        <v>52</v>
      </c>
      <c r="I10" s="411"/>
      <c r="J10" s="411"/>
      <c r="K10" s="411"/>
      <c r="L10" s="411" t="s">
        <v>53</v>
      </c>
      <c r="M10" s="411"/>
      <c r="N10" s="411"/>
      <c r="O10" s="411"/>
      <c r="P10" s="411" t="s">
        <v>25</v>
      </c>
    </row>
    <row r="11" spans="2:19">
      <c r="B11" s="411"/>
      <c r="C11" s="415"/>
      <c r="D11" s="411" t="s">
        <v>170</v>
      </c>
      <c r="E11" s="411"/>
      <c r="F11" s="411" t="s">
        <v>56</v>
      </c>
      <c r="G11" s="411"/>
      <c r="H11" s="411" t="s">
        <v>161</v>
      </c>
      <c r="I11" s="411"/>
      <c r="J11" s="411" t="s">
        <v>56</v>
      </c>
      <c r="K11" s="411"/>
      <c r="L11" s="411" t="s">
        <v>161</v>
      </c>
      <c r="M11" s="411"/>
      <c r="N11" s="411" t="s">
        <v>171</v>
      </c>
      <c r="O11" s="411"/>
      <c r="P11" s="411"/>
    </row>
    <row r="12" spans="2:19">
      <c r="B12" s="414"/>
      <c r="C12" s="416"/>
      <c r="D12" s="50" t="s">
        <v>163</v>
      </c>
      <c r="E12" s="50" t="s">
        <v>164</v>
      </c>
      <c r="F12" s="50" t="s">
        <v>163</v>
      </c>
      <c r="G12" s="50" t="s">
        <v>164</v>
      </c>
      <c r="H12" s="50" t="s">
        <v>163</v>
      </c>
      <c r="I12" s="50" t="s">
        <v>164</v>
      </c>
      <c r="J12" s="50" t="s">
        <v>163</v>
      </c>
      <c r="K12" s="50" t="s">
        <v>164</v>
      </c>
      <c r="L12" s="50" t="s">
        <v>163</v>
      </c>
      <c r="M12" s="50" t="s">
        <v>164</v>
      </c>
      <c r="N12" s="50" t="s">
        <v>163</v>
      </c>
      <c r="O12" s="50" t="s">
        <v>164</v>
      </c>
      <c r="P12" s="419"/>
      <c r="R12"/>
      <c r="S12"/>
    </row>
    <row r="13" spans="2:19">
      <c r="B13" s="107">
        <v>1</v>
      </c>
      <c r="C13" s="10" t="s">
        <v>96</v>
      </c>
      <c r="D13" s="114">
        <f>'F3 A'!D11</f>
        <v>18858.34</v>
      </c>
      <c r="E13" s="200">
        <f t="shared" ref="E13:E27" si="0">D13/$D$28</f>
        <v>0.83855915208248666</v>
      </c>
      <c r="F13" s="118">
        <f>'F3 A'!F11-'POA Data'!R9</f>
        <v>20876.558717547006</v>
      </c>
      <c r="G13" s="200">
        <f t="shared" ref="G13:G27" si="1">F13/$F$28</f>
        <v>0.85153036323440812</v>
      </c>
      <c r="H13" s="118">
        <f>'F3 A'!H11</f>
        <v>22179.26</v>
      </c>
      <c r="I13" s="200">
        <f t="shared" ref="I13:I27" si="2">H13/$H$28</f>
        <v>0.85894179332737197</v>
      </c>
      <c r="J13" s="118">
        <f>'F3 A'!J11-'POA Data'!R10</f>
        <v>22356.588399600649</v>
      </c>
      <c r="K13" s="200">
        <f t="shared" ref="K13:K27" si="3">IFERROR(J13/J$28,0)</f>
        <v>0.85230250643034944</v>
      </c>
      <c r="L13" s="118">
        <f>'F3 A'!L11</f>
        <v>23060.61</v>
      </c>
      <c r="M13" s="200">
        <f t="shared" ref="M13:M27" si="4">L13/$L$28</f>
        <v>0.86018871429434696</v>
      </c>
      <c r="N13" s="118">
        <v>24499.311516583261</v>
      </c>
      <c r="O13" s="200">
        <f t="shared" ref="O13:O27" si="5">N13/$N$28</f>
        <v>0.85216393850010985</v>
      </c>
      <c r="P13" s="42"/>
      <c r="R13"/>
      <c r="S13"/>
    </row>
    <row r="14" spans="2:19">
      <c r="B14" s="107">
        <v>2</v>
      </c>
      <c r="C14" s="10" t="s">
        <v>97</v>
      </c>
      <c r="D14" s="114">
        <f>'F3 A'!D12</f>
        <v>830.26</v>
      </c>
      <c r="E14" s="200">
        <f t="shared" si="0"/>
        <v>3.6918526318223413E-2</v>
      </c>
      <c r="F14" s="118">
        <f>'F3 A'!F12</f>
        <v>840.76851174359581</v>
      </c>
      <c r="G14" s="200">
        <f t="shared" si="1"/>
        <v>3.429396223235396E-2</v>
      </c>
      <c r="H14" s="118">
        <f>'F3 A'!H12</f>
        <v>857.41</v>
      </c>
      <c r="I14" s="200">
        <f t="shared" si="2"/>
        <v>3.3205133219810848E-2</v>
      </c>
      <c r="J14" s="118">
        <f>'F3 A'!J12</f>
        <v>887.88524415390566</v>
      </c>
      <c r="K14" s="200">
        <f t="shared" si="3"/>
        <v>3.3848939985333996E-2</v>
      </c>
      <c r="L14" s="118">
        <f>'F3 A'!L12</f>
        <v>883.13</v>
      </c>
      <c r="M14" s="200">
        <f t="shared" si="4"/>
        <v>3.2941819806794642E-2</v>
      </c>
      <c r="N14" s="118">
        <f>'F3 A'!N12</f>
        <v>975.92685361782389</v>
      </c>
      <c r="O14" s="200">
        <f t="shared" si="5"/>
        <v>3.3945838465870862E-2</v>
      </c>
      <c r="P14" s="42"/>
      <c r="R14"/>
      <c r="S14"/>
    </row>
    <row r="15" spans="2:19">
      <c r="B15" s="107">
        <v>3</v>
      </c>
      <c r="C15" s="10" t="s">
        <v>98</v>
      </c>
      <c r="D15" s="114">
        <f>'F3 A'!D13</f>
        <v>1544.7</v>
      </c>
      <c r="E15" s="200">
        <f t="shared" si="0"/>
        <v>6.8686974687157898E-2</v>
      </c>
      <c r="F15" s="118">
        <f>'F3 A'!F13</f>
        <v>1520.3184966791343</v>
      </c>
      <c r="G15" s="200">
        <f t="shared" si="1"/>
        <v>6.2012009700671951E-2</v>
      </c>
      <c r="H15" s="118">
        <f>'F3 A'!H13</f>
        <v>1531.17</v>
      </c>
      <c r="I15" s="200">
        <f t="shared" si="2"/>
        <v>5.9298006592152862E-2</v>
      </c>
      <c r="J15" s="118">
        <f>'F3 A'!J13</f>
        <v>1620.5122889019176</v>
      </c>
      <c r="K15" s="200">
        <f t="shared" si="3"/>
        <v>6.1778955753238204E-2</v>
      </c>
      <c r="L15" s="118">
        <f>'F3 A'!L13</f>
        <v>1577.1</v>
      </c>
      <c r="M15" s="200">
        <f t="shared" si="4"/>
        <v>5.8827742254589727E-2</v>
      </c>
      <c r="N15" s="118">
        <f>'F3 A'!N13</f>
        <v>1781.2002956126721</v>
      </c>
      <c r="O15" s="200">
        <f t="shared" si="5"/>
        <v>6.1955808763826906E-2</v>
      </c>
      <c r="P15" s="42"/>
      <c r="R15"/>
      <c r="S15"/>
    </row>
    <row r="16" spans="2:19">
      <c r="B16" s="107">
        <v>4</v>
      </c>
      <c r="C16" s="10" t="s">
        <v>99</v>
      </c>
      <c r="D16" s="114">
        <f>'F3 A'!D14</f>
        <v>822.52</v>
      </c>
      <c r="E16" s="200">
        <f t="shared" si="0"/>
        <v>3.6574357752107919E-2</v>
      </c>
      <c r="F16" s="118">
        <f>'F3 A'!F14</f>
        <v>766.74492025824748</v>
      </c>
      <c r="G16" s="200">
        <f t="shared" si="1"/>
        <v>3.1274626689640504E-2</v>
      </c>
      <c r="H16" s="118">
        <f>'F3 A'!H14</f>
        <v>778.7</v>
      </c>
      <c r="I16" s="200">
        <f t="shared" si="2"/>
        <v>3.0156911207318216E-2</v>
      </c>
      <c r="J16" s="118">
        <f>'F3 A'!J14</f>
        <v>809.62212685602651</v>
      </c>
      <c r="K16" s="200">
        <f t="shared" si="3"/>
        <v>3.0865307158993358E-2</v>
      </c>
      <c r="L16" s="118">
        <f>'F3 A'!L14</f>
        <v>802.07</v>
      </c>
      <c r="M16" s="200">
        <f t="shared" si="4"/>
        <v>2.9918183520473519E-2</v>
      </c>
      <c r="N16" s="118">
        <f>'F3 A'!N14</f>
        <v>889.90326180599482</v>
      </c>
      <c r="O16" s="200">
        <f t="shared" si="5"/>
        <v>3.0953664471402725E-2</v>
      </c>
      <c r="P16" s="42"/>
      <c r="R16"/>
      <c r="S16"/>
    </row>
    <row r="17" spans="2:19">
      <c r="B17" s="107">
        <v>5</v>
      </c>
      <c r="C17" s="10" t="s">
        <v>100</v>
      </c>
      <c r="D17" s="114">
        <f>'F3 A'!D15</f>
        <v>387.97</v>
      </c>
      <c r="E17" s="200">
        <f t="shared" si="0"/>
        <v>1.725156054209662E-2</v>
      </c>
      <c r="F17" s="118">
        <f>'F3 A'!F15</f>
        <v>465.27687453063868</v>
      </c>
      <c r="G17" s="200">
        <f t="shared" si="1"/>
        <v>1.8978098418138047E-2</v>
      </c>
      <c r="H17" s="118">
        <f>'F3 A'!H15</f>
        <v>412.77</v>
      </c>
      <c r="I17" s="200">
        <f t="shared" si="2"/>
        <v>1.598544784775233E-2</v>
      </c>
      <c r="J17" s="118">
        <f>'F3 A'!J15</f>
        <v>476.29576368417844</v>
      </c>
      <c r="K17" s="200">
        <f t="shared" si="3"/>
        <v>1.8157872119586641E-2</v>
      </c>
      <c r="L17" s="118">
        <f>'F3 A'!L15</f>
        <v>417.42</v>
      </c>
      <c r="M17" s="200">
        <f t="shared" si="4"/>
        <v>1.557027212726577E-2</v>
      </c>
      <c r="N17" s="118">
        <f>'F3 A'!N15</f>
        <v>523.52466617096479</v>
      </c>
      <c r="O17" s="200">
        <f t="shared" si="5"/>
        <v>1.8209852188059483E-2</v>
      </c>
      <c r="P17" s="42"/>
      <c r="R17"/>
      <c r="S17"/>
    </row>
    <row r="18" spans="2:19">
      <c r="B18" s="107">
        <v>6</v>
      </c>
      <c r="C18" s="10" t="s">
        <v>101</v>
      </c>
      <c r="D18" s="114">
        <f>'F3 A'!D16</f>
        <v>15.8</v>
      </c>
      <c r="E18" s="200">
        <f t="shared" si="0"/>
        <v>7.0256632359493411E-4</v>
      </c>
      <c r="F18" s="118">
        <f>'F3 A'!F16</f>
        <v>8.8263642335825754</v>
      </c>
      <c r="G18" s="200">
        <f t="shared" si="1"/>
        <v>3.6001705278871163E-4</v>
      </c>
      <c r="H18" s="118">
        <f>'F3 A'!H16</f>
        <v>13</v>
      </c>
      <c r="I18" s="200">
        <f t="shared" si="2"/>
        <v>5.0345427725072148E-4</v>
      </c>
      <c r="J18" s="118">
        <f>'F3 A'!J16</f>
        <v>9.6288927584068791</v>
      </c>
      <c r="K18" s="200">
        <f t="shared" si="3"/>
        <v>3.670832635754845E-4</v>
      </c>
      <c r="L18" s="118">
        <f>'F3 A'!L16</f>
        <v>14</v>
      </c>
      <c r="M18" s="200">
        <f t="shared" si="4"/>
        <v>5.2221697518499541E-4</v>
      </c>
      <c r="N18" s="118">
        <f>'F3 A'!N16</f>
        <v>10.583681928952736</v>
      </c>
      <c r="O18" s="200">
        <f t="shared" si="5"/>
        <v>3.6813410329118593E-4</v>
      </c>
      <c r="P18" s="59"/>
      <c r="R18"/>
      <c r="S18"/>
    </row>
    <row r="19" spans="2:19">
      <c r="B19" s="107">
        <v>7</v>
      </c>
      <c r="C19" s="10" t="s">
        <v>102</v>
      </c>
      <c r="D19" s="114">
        <f>'F3 A'!D17</f>
        <v>8</v>
      </c>
      <c r="E19" s="200">
        <f t="shared" si="0"/>
        <v>3.5572978409870079E-4</v>
      </c>
      <c r="F19" s="118">
        <f>'F3 A'!F17</f>
        <v>4.9591404052703156</v>
      </c>
      <c r="G19" s="200">
        <f t="shared" si="1"/>
        <v>2.0227752513065752E-4</v>
      </c>
      <c r="H19" s="118">
        <f>'F3 A'!H17</f>
        <v>5.5</v>
      </c>
      <c r="I19" s="200">
        <f t="shared" si="2"/>
        <v>2.1299988652915137E-4</v>
      </c>
      <c r="J19" s="118">
        <f>'F3 A'!J17</f>
        <v>4.7581209253517445</v>
      </c>
      <c r="K19" s="200">
        <f t="shared" si="3"/>
        <v>1.8139433074898073E-4</v>
      </c>
      <c r="L19" s="118">
        <f>'F3 A'!L17</f>
        <v>5.5</v>
      </c>
      <c r="M19" s="200">
        <f t="shared" si="4"/>
        <v>2.0515666882267675E-4</v>
      </c>
      <c r="N19" s="118">
        <f>'F3 A'!N17</f>
        <v>5.2299303478533119</v>
      </c>
      <c r="O19" s="200">
        <f t="shared" si="5"/>
        <v>1.8191360358397039E-4</v>
      </c>
      <c r="P19" s="56"/>
      <c r="R19"/>
      <c r="S19"/>
    </row>
    <row r="20" spans="2:19">
      <c r="B20" s="107">
        <v>8</v>
      </c>
      <c r="C20" s="10" t="s">
        <v>103</v>
      </c>
      <c r="D20" s="114">
        <f>'F3 A'!D18</f>
        <v>8.5</v>
      </c>
      <c r="E20" s="200">
        <f t="shared" si="0"/>
        <v>3.7796289560486959E-4</v>
      </c>
      <c r="F20" s="118">
        <f>'F3 A'!F18</f>
        <v>4.2261638574231251</v>
      </c>
      <c r="G20" s="200">
        <f t="shared" si="1"/>
        <v>1.7238027077589582E-4</v>
      </c>
      <c r="H20" s="118">
        <f>'F3 A'!H18</f>
        <v>6</v>
      </c>
      <c r="I20" s="200">
        <f t="shared" si="2"/>
        <v>2.3236351257725606E-4</v>
      </c>
      <c r="J20" s="118">
        <f>'F3 A'!J18</f>
        <v>4.8354931743877367</v>
      </c>
      <c r="K20" s="200">
        <f t="shared" si="3"/>
        <v>1.8434400091344586E-4</v>
      </c>
      <c r="L20" s="118">
        <f>'F3 A'!L18</f>
        <v>6.5</v>
      </c>
      <c r="M20" s="200">
        <f t="shared" si="4"/>
        <v>2.4245788133589073E-4</v>
      </c>
      <c r="N20" s="118">
        <f>'F3 A'!N18</f>
        <v>5.3149747340014182</v>
      </c>
      <c r="O20" s="200">
        <f t="shared" si="5"/>
        <v>1.8487171769253377E-4</v>
      </c>
      <c r="P20" s="56"/>
      <c r="R20"/>
      <c r="S20"/>
    </row>
    <row r="21" spans="2:19">
      <c r="B21" s="107">
        <v>9</v>
      </c>
      <c r="C21" s="10" t="s">
        <v>104</v>
      </c>
      <c r="D21" s="114">
        <f>'F3 A'!D19</f>
        <v>0.53</v>
      </c>
      <c r="E21" s="200">
        <f t="shared" si="0"/>
        <v>2.356709819653893E-5</v>
      </c>
      <c r="F21" s="118">
        <f>'F3 A'!F19</f>
        <v>3.3330259296032971</v>
      </c>
      <c r="G21" s="200">
        <f t="shared" si="1"/>
        <v>1.3595022143756276E-4</v>
      </c>
      <c r="H21" s="118">
        <f>'F3 A'!H19</f>
        <v>4.5</v>
      </c>
      <c r="I21" s="200">
        <f t="shared" si="2"/>
        <v>1.7427263443294203E-4</v>
      </c>
      <c r="J21" s="118">
        <f>'F3 A'!J19</f>
        <v>5.00902343187059</v>
      </c>
      <c r="K21" s="200">
        <f t="shared" si="3"/>
        <v>1.9095951267000623E-4</v>
      </c>
      <c r="L21" s="118">
        <f>'F3 A'!L19</f>
        <v>5.5</v>
      </c>
      <c r="M21" s="200">
        <f t="shared" si="4"/>
        <v>2.0515666882267675E-4</v>
      </c>
      <c r="N21" s="118">
        <f>'F3 A'!N19</f>
        <v>5.5057120385211187</v>
      </c>
      <c r="O21" s="200">
        <f t="shared" si="5"/>
        <v>1.9150616750261853E-4</v>
      </c>
      <c r="P21" s="56"/>
      <c r="R21"/>
      <c r="S21"/>
    </row>
    <row r="22" spans="2:19">
      <c r="B22" s="107">
        <v>10</v>
      </c>
      <c r="C22" s="10" t="s">
        <v>105</v>
      </c>
      <c r="D22" s="114">
        <f>'F3 A'!D20</f>
        <v>12.36</v>
      </c>
      <c r="E22" s="200">
        <f t="shared" si="0"/>
        <v>5.4960251643249274E-4</v>
      </c>
      <c r="F22" s="118">
        <f>'F3 A'!F20</f>
        <v>12.504652338592978</v>
      </c>
      <c r="G22" s="200">
        <f t="shared" si="1"/>
        <v>5.1005011372167472E-4</v>
      </c>
      <c r="H22" s="118">
        <f>'F3 A'!H20</f>
        <v>15</v>
      </c>
      <c r="I22" s="200">
        <f t="shared" si="2"/>
        <v>5.8090878144314011E-4</v>
      </c>
      <c r="J22" s="118">
        <f>'F3 A'!J20</f>
        <v>13.642857587808855</v>
      </c>
      <c r="K22" s="200">
        <f t="shared" si="3"/>
        <v>5.2010805535828114E-4</v>
      </c>
      <c r="L22" s="118">
        <f>'F3 A'!L20</f>
        <v>16</v>
      </c>
      <c r="M22" s="200">
        <f t="shared" si="4"/>
        <v>5.9681940021142331E-4</v>
      </c>
      <c r="N22" s="118">
        <f>'F3 A'!N20</f>
        <v>14.995666577063236</v>
      </c>
      <c r="O22" s="200">
        <f t="shared" si="5"/>
        <v>5.2159695516728667E-4</v>
      </c>
      <c r="P22" s="56"/>
      <c r="R22"/>
      <c r="S22"/>
    </row>
    <row r="23" spans="2:19">
      <c r="B23" s="107">
        <v>11</v>
      </c>
      <c r="C23" s="10" t="s">
        <v>106</v>
      </c>
      <c r="D23" s="114">
        <f>'F3 A'!D21</f>
        <v>0</v>
      </c>
      <c r="E23" s="200">
        <f t="shared" si="0"/>
        <v>0</v>
      </c>
      <c r="F23" s="118">
        <f>'F3 A'!F21</f>
        <v>6.8753755588047403</v>
      </c>
      <c r="G23" s="200">
        <f t="shared" si="1"/>
        <v>2.8043851125909538E-4</v>
      </c>
      <c r="H23" s="118">
        <f>'F3 A'!H21</f>
        <v>9</v>
      </c>
      <c r="I23" s="200">
        <f t="shared" si="2"/>
        <v>3.4854526886588406E-4</v>
      </c>
      <c r="J23" s="118">
        <f>'F3 A'!J21</f>
        <v>7.8086218578848205</v>
      </c>
      <c r="K23" s="200">
        <f t="shared" si="3"/>
        <v>2.9768888983799187E-4</v>
      </c>
      <c r="L23" s="118">
        <f>'F3 A'!L21</f>
        <v>10</v>
      </c>
      <c r="M23" s="200">
        <f t="shared" si="4"/>
        <v>3.7301212513213955E-4</v>
      </c>
      <c r="N23" s="118">
        <f>'F3 A'!N21</f>
        <v>8.5829152033254683</v>
      </c>
      <c r="O23" s="200">
        <f t="shared" si="5"/>
        <v>2.9854107608401641E-4</v>
      </c>
      <c r="P23" s="56"/>
      <c r="R23"/>
      <c r="S23"/>
    </row>
    <row r="24" spans="2:19">
      <c r="B24" s="107">
        <v>12</v>
      </c>
      <c r="C24" s="10" t="s">
        <v>107</v>
      </c>
      <c r="D24" s="114">
        <f>'F3 A'!D22</f>
        <v>0</v>
      </c>
      <c r="E24" s="200">
        <f t="shared" si="0"/>
        <v>0</v>
      </c>
      <c r="F24" s="118">
        <f>'F3 A'!F22</f>
        <v>4.6153764922955736</v>
      </c>
      <c r="G24" s="200">
        <f t="shared" si="1"/>
        <v>1.8825579800394365E-4</v>
      </c>
      <c r="H24" s="118">
        <f>'F3 A'!H22</f>
        <v>7</v>
      </c>
      <c r="I24" s="200">
        <f t="shared" si="2"/>
        <v>2.7109076467346537E-4</v>
      </c>
      <c r="J24" s="118">
        <f>'F3 A'!J22</f>
        <v>5.5719009025949369</v>
      </c>
      <c r="K24" s="200">
        <f t="shared" si="3"/>
        <v>2.1241814806359366E-4</v>
      </c>
      <c r="L24" s="118">
        <f>'F3 A'!L22</f>
        <v>8</v>
      </c>
      <c r="M24" s="200">
        <f t="shared" si="4"/>
        <v>2.9840970010571165E-4</v>
      </c>
      <c r="N24" s="118">
        <f>'F3 A'!N22</f>
        <v>6.1244037473802306</v>
      </c>
      <c r="O24" s="200">
        <f t="shared" si="5"/>
        <v>2.1302623197389442E-4</v>
      </c>
      <c r="P24" s="56"/>
      <c r="R24"/>
      <c r="S24"/>
    </row>
    <row r="25" spans="2:19">
      <c r="B25" s="107">
        <v>13</v>
      </c>
      <c r="C25" s="10" t="s">
        <v>108</v>
      </c>
      <c r="D25" s="114">
        <f>'F3 A'!D23</f>
        <v>0</v>
      </c>
      <c r="E25" s="200">
        <f t="shared" si="0"/>
        <v>0</v>
      </c>
      <c r="F25" s="118">
        <f>'F3 A'!F23</f>
        <v>0.90694810225534095</v>
      </c>
      <c r="G25" s="200">
        <f t="shared" si="1"/>
        <v>3.6993350168345752E-5</v>
      </c>
      <c r="H25" s="118">
        <f>'F3 A'!H23</f>
        <v>1.5</v>
      </c>
      <c r="I25" s="200">
        <f t="shared" si="2"/>
        <v>5.8090878144314014E-5</v>
      </c>
      <c r="J25" s="118">
        <f>'F3 A'!J23</f>
        <v>1.1110843832780235</v>
      </c>
      <c r="K25" s="200">
        <f t="shared" si="3"/>
        <v>4.2357983597371873E-5</v>
      </c>
      <c r="L25" s="118">
        <f>'F3 A'!L23</f>
        <v>2</v>
      </c>
      <c r="M25" s="200">
        <f t="shared" si="4"/>
        <v>7.4602425026427913E-5</v>
      </c>
      <c r="N25" s="118">
        <f>'F3 A'!N23</f>
        <v>1.2212581450317057</v>
      </c>
      <c r="O25" s="200">
        <f t="shared" si="5"/>
        <v>4.2479240695850266E-5</v>
      </c>
      <c r="P25" s="56"/>
      <c r="R25"/>
      <c r="S25"/>
    </row>
    <row r="26" spans="2:19">
      <c r="B26" s="107">
        <v>14</v>
      </c>
      <c r="C26" s="10" t="s">
        <v>109</v>
      </c>
      <c r="D26" s="114">
        <f>'F3 A'!D24</f>
        <v>0</v>
      </c>
      <c r="E26" s="200">
        <f t="shared" si="0"/>
        <v>0</v>
      </c>
      <c r="F26" s="118">
        <f>'F3 A'!F24</f>
        <v>0.60253953577242603</v>
      </c>
      <c r="G26" s="200">
        <f t="shared" si="1"/>
        <v>2.4576881501458135E-5</v>
      </c>
      <c r="H26" s="118">
        <f>'F3 A'!H24</f>
        <v>0.8</v>
      </c>
      <c r="I26" s="200">
        <f t="shared" si="2"/>
        <v>3.0981801676967473E-5</v>
      </c>
      <c r="J26" s="118">
        <f>'F3 A'!J24</f>
        <v>0.61456767949111812</v>
      </c>
      <c r="K26" s="200">
        <f t="shared" si="3"/>
        <v>2.3429226509833682E-5</v>
      </c>
      <c r="L26" s="118">
        <f>'F3 A'!L24</f>
        <v>0.95</v>
      </c>
      <c r="M26" s="200">
        <f t="shared" si="4"/>
        <v>3.5436151887553259E-5</v>
      </c>
      <c r="N26" s="118">
        <f>'F3 A'!N24</f>
        <v>0.67550745519204725</v>
      </c>
      <c r="O26" s="200">
        <f t="shared" si="5"/>
        <v>2.3496296747481913E-5</v>
      </c>
      <c r="P26" s="56"/>
      <c r="R26"/>
      <c r="S26"/>
    </row>
    <row r="27" spans="2:19">
      <c r="B27" s="107">
        <v>15</v>
      </c>
      <c r="C27" s="10" t="s">
        <v>110</v>
      </c>
      <c r="D27" s="114">
        <f>'F3 A'!D25</f>
        <v>0</v>
      </c>
      <c r="E27" s="200">
        <f t="shared" si="0"/>
        <v>0</v>
      </c>
      <c r="F27" s="118">
        <f>'F3 A'!F25</f>
        <v>0</v>
      </c>
      <c r="G27" s="200">
        <f t="shared" si="1"/>
        <v>0</v>
      </c>
      <c r="H27" s="118">
        <f>'F3 A'!H25</f>
        <v>0</v>
      </c>
      <c r="I27" s="200">
        <f t="shared" si="2"/>
        <v>0</v>
      </c>
      <c r="J27" s="118">
        <f>'F3 A'!J25</f>
        <v>26.929475292783405</v>
      </c>
      <c r="K27" s="200">
        <f t="shared" si="3"/>
        <v>1.0266351412232223E-3</v>
      </c>
      <c r="L27" s="118">
        <f>'F3 A'!L25</f>
        <v>0</v>
      </c>
      <c r="M27" s="200">
        <f t="shared" si="4"/>
        <v>0</v>
      </c>
      <c r="N27" s="118">
        <f>'F3 A'!N25</f>
        <v>21.427949913081029</v>
      </c>
      <c r="O27" s="200">
        <f t="shared" si="5"/>
        <v>7.453322179912761E-4</v>
      </c>
      <c r="P27" s="56"/>
      <c r="R27"/>
      <c r="S27"/>
    </row>
    <row r="28" spans="2:19">
      <c r="B28" s="56"/>
      <c r="C28" s="63" t="s">
        <v>165</v>
      </c>
      <c r="D28" s="180">
        <f t="shared" ref="D28:O28" si="6">SUM(D13:D27)</f>
        <v>22488.98</v>
      </c>
      <c r="E28" s="201">
        <f t="shared" si="6"/>
        <v>1</v>
      </c>
      <c r="F28" s="180">
        <f t="shared" si="6"/>
        <v>24516.517107212225</v>
      </c>
      <c r="G28" s="95">
        <f t="shared" si="6"/>
        <v>1</v>
      </c>
      <c r="H28" s="180">
        <f t="shared" si="6"/>
        <v>25821.609999999997</v>
      </c>
      <c r="I28" s="201">
        <f t="shared" si="6"/>
        <v>1.0000000000000002</v>
      </c>
      <c r="J28" s="180">
        <f t="shared" si="6"/>
        <v>26230.813861190538</v>
      </c>
      <c r="K28" s="95">
        <f t="shared" si="6"/>
        <v>1</v>
      </c>
      <c r="L28" s="196">
        <f t="shared" si="6"/>
        <v>26808.78</v>
      </c>
      <c r="M28" s="201">
        <f t="shared" si="6"/>
        <v>1.0000000000000002</v>
      </c>
      <c r="N28" s="180">
        <f t="shared" si="6"/>
        <v>28749.528593881121</v>
      </c>
      <c r="O28" s="201">
        <f t="shared" si="6"/>
        <v>1</v>
      </c>
      <c r="P28" s="89"/>
    </row>
    <row r="29" spans="2:19">
      <c r="B29" s="37"/>
      <c r="C29" s="47"/>
      <c r="D29" s="47"/>
    </row>
    <row r="30" spans="2:19">
      <c r="B30" s="37"/>
      <c r="C30" s="47"/>
      <c r="D30" s="47"/>
    </row>
    <row r="31" spans="2:19">
      <c r="N31" s="41"/>
    </row>
    <row r="32" spans="2:19" s="38" customFormat="1">
      <c r="B32" s="411" t="s">
        <v>2</v>
      </c>
      <c r="C32" s="415" t="s">
        <v>82</v>
      </c>
      <c r="D32" s="411" t="s">
        <v>24</v>
      </c>
      <c r="E32" s="411"/>
      <c r="F32" s="411"/>
      <c r="G32" s="411"/>
      <c r="H32" s="411"/>
      <c r="I32" s="411"/>
      <c r="J32" s="411"/>
      <c r="K32" s="411"/>
      <c r="L32" s="411"/>
      <c r="M32" s="411"/>
      <c r="N32" s="411" t="s">
        <v>25</v>
      </c>
    </row>
    <row r="33" spans="2:14" s="38" customFormat="1">
      <c r="B33" s="411"/>
      <c r="C33" s="415"/>
      <c r="D33" s="411" t="s">
        <v>26</v>
      </c>
      <c r="E33" s="411"/>
      <c r="F33" s="411" t="s">
        <v>27</v>
      </c>
      <c r="G33" s="411"/>
      <c r="H33" s="411" t="s">
        <v>28</v>
      </c>
      <c r="I33" s="411"/>
      <c r="J33" s="411" t="s">
        <v>29</v>
      </c>
      <c r="K33" s="411"/>
      <c r="L33" s="411" t="s">
        <v>30</v>
      </c>
      <c r="M33" s="411"/>
      <c r="N33" s="411"/>
    </row>
    <row r="34" spans="2:14" s="38" customFormat="1">
      <c r="B34" s="420"/>
      <c r="C34" s="421"/>
      <c r="D34" s="50" t="s">
        <v>163</v>
      </c>
      <c r="E34" s="50" t="s">
        <v>164</v>
      </c>
      <c r="F34" s="50" t="s">
        <v>163</v>
      </c>
      <c r="G34" s="50" t="s">
        <v>164</v>
      </c>
      <c r="H34" s="50" t="s">
        <v>163</v>
      </c>
      <c r="I34" s="50" t="s">
        <v>164</v>
      </c>
      <c r="J34" s="50" t="s">
        <v>163</v>
      </c>
      <c r="K34" s="50" t="s">
        <v>164</v>
      </c>
      <c r="L34" s="50" t="s">
        <v>163</v>
      </c>
      <c r="M34" s="50" t="s">
        <v>164</v>
      </c>
      <c r="N34" s="420"/>
    </row>
    <row r="35" spans="2:14" s="43" customFormat="1">
      <c r="B35" s="107">
        <v>1</v>
      </c>
      <c r="C35" s="10" t="s">
        <v>96</v>
      </c>
      <c r="D35" s="114">
        <f>'F3 A'!D33-'POA Data'!V5</f>
        <v>21623.383428000674</v>
      </c>
      <c r="E35" s="200">
        <f t="shared" ref="E35:E53" si="7">D35/$D$54</f>
        <v>0.8427869142846155</v>
      </c>
      <c r="F35" s="114">
        <f>'F3 A'!F33-'F2'!E177</f>
        <v>22819.528507745523</v>
      </c>
      <c r="G35" s="200">
        <f t="shared" ref="G35:G53" si="8">F35/$F$54</f>
        <v>0.84254840271258946</v>
      </c>
      <c r="H35" s="114">
        <f>'F3 A'!H33-'F2'!F177</f>
        <v>24057.74913949913</v>
      </c>
      <c r="I35" s="200">
        <f t="shared" ref="I35:I53" si="9">H35/$H$54</f>
        <v>0.84210385838765101</v>
      </c>
      <c r="J35" s="114">
        <f>'F3 A'!J33-'F2'!G177</f>
        <v>25333.765492418705</v>
      </c>
      <c r="K35" s="200">
        <f t="shared" ref="K35:K53" si="10">J35/$J$54</f>
        <v>0.84143212966692182</v>
      </c>
      <c r="L35" s="114">
        <f>'F3 A'!L33-'F2'!H177</f>
        <v>26641.56750743954</v>
      </c>
      <c r="M35" s="200">
        <f t="shared" ref="M35:M53" si="11">L35/$L$54</f>
        <v>0.84050721242402326</v>
      </c>
      <c r="N35" s="187"/>
    </row>
    <row r="36" spans="2:14" s="43" customFormat="1">
      <c r="B36" s="107">
        <v>2</v>
      </c>
      <c r="C36" s="10" t="s">
        <v>97</v>
      </c>
      <c r="D36" s="114">
        <f>'F3 A'!D34</f>
        <v>910.1462373682624</v>
      </c>
      <c r="E36" s="200">
        <f t="shared" si="7"/>
        <v>3.5473603910943292E-2</v>
      </c>
      <c r="F36" s="114">
        <f>'F3 A'!F34</f>
        <v>972.57001312277851</v>
      </c>
      <c r="G36" s="200">
        <f t="shared" si="8"/>
        <v>3.590947599134757E-2</v>
      </c>
      <c r="H36" s="114">
        <f>'F3 A'!H34</f>
        <v>1039.275219288651</v>
      </c>
      <c r="I36" s="200">
        <f t="shared" si="9"/>
        <v>3.637820259139446E-2</v>
      </c>
      <c r="J36" s="114">
        <f>'F3 A'!J34</f>
        <v>1110.5555043378881</v>
      </c>
      <c r="K36" s="200">
        <f t="shared" si="10"/>
        <v>3.6885834575519146E-2</v>
      </c>
      <c r="L36" s="114">
        <f>'F3 A'!L34</f>
        <v>1186.7246570733751</v>
      </c>
      <c r="M36" s="200">
        <f t="shared" si="11"/>
        <v>3.7439637632172493E-2</v>
      </c>
      <c r="N36" s="187"/>
    </row>
    <row r="37" spans="2:14" s="43" customFormat="1">
      <c r="B37" s="107">
        <v>3</v>
      </c>
      <c r="C37" s="10" t="s">
        <v>98</v>
      </c>
      <c r="D37" s="114">
        <f>'F3 A'!D35</f>
        <v>1655.0274949930335</v>
      </c>
      <c r="E37" s="200">
        <f t="shared" si="7"/>
        <v>6.4505886426412223E-2</v>
      </c>
      <c r="F37" s="114">
        <f>'F3 A'!F35</f>
        <v>1778.4325159970329</v>
      </c>
      <c r="G37" s="200">
        <f t="shared" si="8"/>
        <v>6.5663735128306089E-2</v>
      </c>
      <c r="H37" s="114">
        <f>'F3 A'!H35</f>
        <v>1911.0390754981686</v>
      </c>
      <c r="I37" s="200">
        <f t="shared" si="9"/>
        <v>6.6892932072533939E-2</v>
      </c>
      <c r="J37" s="114">
        <f>'F3 A'!J35</f>
        <v>2053.5332745158757</v>
      </c>
      <c r="K37" s="200">
        <f t="shared" si="10"/>
        <v>6.8205765820121333E-2</v>
      </c>
      <c r="L37" s="114">
        <f>'F3 A'!L35</f>
        <v>2206.6523723198129</v>
      </c>
      <c r="M37" s="200">
        <f t="shared" si="11"/>
        <v>6.9617046133995872E-2</v>
      </c>
      <c r="N37" s="44"/>
    </row>
    <row r="38" spans="2:14" s="43" customFormat="1">
      <c r="B38" s="107">
        <v>4</v>
      </c>
      <c r="C38" s="10" t="s">
        <v>99</v>
      </c>
      <c r="D38" s="114">
        <f>'F3 A'!D36</f>
        <v>811.84709635118861</v>
      </c>
      <c r="E38" s="200">
        <f t="shared" si="7"/>
        <v>3.1642324221968741E-2</v>
      </c>
      <c r="F38" s="114">
        <f>'F3 A'!F36</f>
        <v>823.52164456685011</v>
      </c>
      <c r="G38" s="200">
        <f t="shared" si="8"/>
        <v>3.0406274432599776E-2</v>
      </c>
      <c r="H38" s="114">
        <f>'F3 A'!H36</f>
        <v>835.36407547452643</v>
      </c>
      <c r="I38" s="200">
        <f t="shared" si="9"/>
        <v>2.9240612121960854E-2</v>
      </c>
      <c r="J38" s="114">
        <f>'F3 A'!J36</f>
        <v>847.37680326599241</v>
      </c>
      <c r="K38" s="200">
        <f t="shared" si="10"/>
        <v>2.8144654153991644E-2</v>
      </c>
      <c r="L38" s="114">
        <f>'F3 A'!L36</f>
        <v>859.56227684965677</v>
      </c>
      <c r="M38" s="200">
        <f t="shared" si="11"/>
        <v>2.7118085038277326E-2</v>
      </c>
      <c r="N38" s="44"/>
    </row>
    <row r="39" spans="2:14" s="43" customFormat="1">
      <c r="B39" s="107">
        <v>5</v>
      </c>
      <c r="C39" s="10" t="s">
        <v>100</v>
      </c>
      <c r="D39" s="114">
        <f>'F3 A'!D37</f>
        <v>506.54351686222435</v>
      </c>
      <c r="E39" s="200">
        <f t="shared" si="7"/>
        <v>1.9742897726836621E-2</v>
      </c>
      <c r="F39" s="114">
        <f>'F3 A'!F37</f>
        <v>534.41338571650533</v>
      </c>
      <c r="G39" s="200">
        <f t="shared" si="8"/>
        <v>1.9731746182697678E-2</v>
      </c>
      <c r="H39" s="114">
        <f>'F3 A'!H37</f>
        <v>563.81664620269635</v>
      </c>
      <c r="I39" s="200">
        <f t="shared" si="9"/>
        <v>1.9735519330482162E-2</v>
      </c>
      <c r="J39" s="114">
        <f>'F3 A'!J37</f>
        <v>594.83766505783183</v>
      </c>
      <c r="K39" s="200">
        <f t="shared" si="10"/>
        <v>1.9756854679399836E-2</v>
      </c>
      <c r="L39" s="114">
        <f>'F3 A'!L37</f>
        <v>627.56545085092807</v>
      </c>
      <c r="M39" s="200">
        <f t="shared" si="11"/>
        <v>1.9798883363790223E-2</v>
      </c>
      <c r="N39" s="44"/>
    </row>
    <row r="40" spans="2:14" s="40" customFormat="1">
      <c r="B40" s="107">
        <v>6</v>
      </c>
      <c r="C40" s="10" t="s">
        <v>101</v>
      </c>
      <c r="D40" s="114">
        <f>'F3 A'!D38</f>
        <v>9.4507539347799021</v>
      </c>
      <c r="E40" s="200">
        <f t="shared" si="7"/>
        <v>3.6834992881096935E-4</v>
      </c>
      <c r="F40" s="114">
        <f>'F3 A'!F38</f>
        <v>9.647068090235507</v>
      </c>
      <c r="G40" s="200">
        <f t="shared" si="8"/>
        <v>3.5619148780960256E-4</v>
      </c>
      <c r="H40" s="114">
        <f>'F3 A'!H38</f>
        <v>9.8474601476128232</v>
      </c>
      <c r="I40" s="200">
        <f t="shared" si="9"/>
        <v>3.4469493124808737E-4</v>
      </c>
      <c r="J40" s="114">
        <f>'F3 A'!J38</f>
        <v>10.052014814425908</v>
      </c>
      <c r="K40" s="200">
        <f t="shared" si="10"/>
        <v>3.3386620853015234E-4</v>
      </c>
      <c r="L40" s="114">
        <f>'F3 A'!L38</f>
        <v>10.260818557761038</v>
      </c>
      <c r="M40" s="200">
        <f t="shared" si="11"/>
        <v>3.2371563725610815E-4</v>
      </c>
      <c r="N40" s="59"/>
    </row>
    <row r="41" spans="2:14">
      <c r="B41" s="107">
        <v>7</v>
      </c>
      <c r="C41" s="10" t="s">
        <v>102</v>
      </c>
      <c r="D41" s="114">
        <f>'F3 A'!D39</f>
        <v>4.7613692735785582</v>
      </c>
      <c r="E41" s="200">
        <f t="shared" si="7"/>
        <v>1.8557779041426751E-4</v>
      </c>
      <c r="F41" s="114">
        <f>'F3 A'!F39</f>
        <v>4.9000987520471337</v>
      </c>
      <c r="G41" s="200">
        <f t="shared" si="8"/>
        <v>1.8092268537756706E-4</v>
      </c>
      <c r="H41" s="114">
        <f>'F3 A'!H39</f>
        <v>5.0428703173798723</v>
      </c>
      <c r="I41" s="200">
        <f t="shared" si="9"/>
        <v>1.7651778339652937E-4</v>
      </c>
      <c r="J41" s="114">
        <f>'F3 A'!J39</f>
        <v>5.189801741707095</v>
      </c>
      <c r="K41" s="200">
        <f t="shared" si="10"/>
        <v>1.7237334629076418E-4</v>
      </c>
      <c r="L41" s="114">
        <f>'F3 A'!L39</f>
        <v>5.3410142286229032</v>
      </c>
      <c r="M41" s="200">
        <f t="shared" si="11"/>
        <v>1.6850213410165535E-4</v>
      </c>
      <c r="N41" s="56"/>
    </row>
    <row r="42" spans="2:14">
      <c r="B42" s="107">
        <v>8</v>
      </c>
      <c r="C42" s="10" t="s">
        <v>103</v>
      </c>
      <c r="D42" s="114">
        <f>'F3 A'!D40</f>
        <v>5.2546953107476844</v>
      </c>
      <c r="E42" s="200">
        <f t="shared" si="7"/>
        <v>2.0480552736794127E-4</v>
      </c>
      <c r="F42" s="114">
        <f>'F3 A'!F40</f>
        <v>5.3597556735183662</v>
      </c>
      <c r="G42" s="200">
        <f t="shared" si="8"/>
        <v>1.9789425448119336E-4</v>
      </c>
      <c r="H42" s="114">
        <f>'F3 A'!H40</f>
        <v>5.4669165728897013</v>
      </c>
      <c r="I42" s="200">
        <f t="shared" si="9"/>
        <v>1.9136085894067386E-4</v>
      </c>
      <c r="J42" s="114">
        <f>'F3 A'!J40</f>
        <v>5.5762200061848892</v>
      </c>
      <c r="K42" s="200">
        <f t="shared" si="10"/>
        <v>1.8520778826580528E-4</v>
      </c>
      <c r="L42" s="114">
        <f>'F3 A'!L40</f>
        <v>5.6877088104055016</v>
      </c>
      <c r="M42" s="200">
        <f t="shared" si="11"/>
        <v>1.7943990254997328E-4</v>
      </c>
      <c r="N42" s="56"/>
    </row>
    <row r="43" spans="2:14">
      <c r="B43" s="107">
        <v>9</v>
      </c>
      <c r="C43" s="10" t="s">
        <v>104</v>
      </c>
      <c r="D43" s="114">
        <f>'F3 A'!D41</f>
        <v>7.7174328814862889</v>
      </c>
      <c r="E43" s="200">
        <f t="shared" si="7"/>
        <v>3.0079249466408967E-4</v>
      </c>
      <c r="F43" s="114">
        <f>'F3 A'!F41</f>
        <v>9.1783141991477848</v>
      </c>
      <c r="G43" s="200">
        <f t="shared" si="8"/>
        <v>3.3888403809313641E-4</v>
      </c>
      <c r="H43" s="114">
        <f>'F3 A'!H41</f>
        <v>10.915734912365561</v>
      </c>
      <c r="I43" s="200">
        <f t="shared" si="9"/>
        <v>3.8208821754432857E-4</v>
      </c>
      <c r="J43" s="114">
        <f>'F3 A'!J41</f>
        <v>12.982042899348542</v>
      </c>
      <c r="K43" s="200">
        <f t="shared" si="10"/>
        <v>4.3118374990465261E-4</v>
      </c>
      <c r="L43" s="114">
        <f>'F3 A'!L41</f>
        <v>15.439495296794711</v>
      </c>
      <c r="M43" s="200">
        <f t="shared" si="11"/>
        <v>4.8709623221377524E-4</v>
      </c>
      <c r="N43" s="56"/>
    </row>
    <row r="44" spans="2:14">
      <c r="B44" s="107">
        <v>10</v>
      </c>
      <c r="C44" s="10" t="s">
        <v>105</v>
      </c>
      <c r="D44" s="114">
        <f>'F3 A'!D42</f>
        <v>13.595734156852755</v>
      </c>
      <c r="E44" s="200">
        <f t="shared" si="7"/>
        <v>5.2990351281706569E-4</v>
      </c>
      <c r="F44" s="114">
        <f>'F3 A'!F42</f>
        <v>14.683392889400977</v>
      </c>
      <c r="G44" s="200">
        <f t="shared" si="8"/>
        <v>5.4214394575098255E-4</v>
      </c>
      <c r="H44" s="114">
        <f>'F3 A'!H42</f>
        <v>15.858064320553057</v>
      </c>
      <c r="I44" s="200">
        <f t="shared" si="9"/>
        <v>5.5508672376052958E-4</v>
      </c>
      <c r="J44" s="114">
        <f>'F3 A'!J42</f>
        <v>17.126709466197301</v>
      </c>
      <c r="K44" s="200">
        <f t="shared" si="10"/>
        <v>5.68844123256829E-4</v>
      </c>
      <c r="L44" s="114">
        <f>'F3 A'!L42</f>
        <v>18.496846223493087</v>
      </c>
      <c r="M44" s="200">
        <f t="shared" si="11"/>
        <v>5.835517243346376E-4</v>
      </c>
      <c r="N44" s="56"/>
    </row>
    <row r="45" spans="2:14">
      <c r="B45" s="107">
        <v>11</v>
      </c>
      <c r="C45" s="10" t="s">
        <v>106</v>
      </c>
      <c r="D45" s="114">
        <f>'F3 A'!D43</f>
        <v>8.1047084000753422</v>
      </c>
      <c r="E45" s="200">
        <f t="shared" si="7"/>
        <v>3.1588683641575982E-4</v>
      </c>
      <c r="F45" s="114">
        <f>'F3 A'!F43</f>
        <v>8.1047084000753422</v>
      </c>
      <c r="G45" s="200">
        <f t="shared" si="8"/>
        <v>2.9924409326060285E-4</v>
      </c>
      <c r="H45" s="114">
        <f>'F3 A'!H43</f>
        <v>8.1047084000753422</v>
      </c>
      <c r="I45" s="200">
        <f t="shared" si="9"/>
        <v>2.8369263372210658E-4</v>
      </c>
      <c r="J45" s="114">
        <f>'F3 A'!J43</f>
        <v>8.1047084000753422</v>
      </c>
      <c r="K45" s="200">
        <f t="shared" si="10"/>
        <v>2.6918864672705625E-4</v>
      </c>
      <c r="L45" s="114">
        <f>'F3 A'!L43</f>
        <v>8.1047084000753422</v>
      </c>
      <c r="M45" s="200">
        <f t="shared" si="11"/>
        <v>2.5569313303185526E-4</v>
      </c>
      <c r="N45" s="56"/>
    </row>
    <row r="46" spans="2:14">
      <c r="B46" s="107">
        <v>12</v>
      </c>
      <c r="C46" s="10" t="s">
        <v>107</v>
      </c>
      <c r="D46" s="114">
        <f>'F3 A'!D44</f>
        <v>5.4362904073447176</v>
      </c>
      <c r="E46" s="200">
        <f t="shared" si="7"/>
        <v>2.1188332680760006E-4</v>
      </c>
      <c r="F46" s="114">
        <f>'F3 A'!F44</f>
        <v>5.4362904073447176</v>
      </c>
      <c r="G46" s="200">
        <f t="shared" si="8"/>
        <v>2.0072008927946879E-4</v>
      </c>
      <c r="H46" s="114">
        <f>'F3 A'!H44</f>
        <v>5.4362904073447176</v>
      </c>
      <c r="I46" s="200">
        <f t="shared" si="9"/>
        <v>1.9028883794554655E-4</v>
      </c>
      <c r="J46" s="114">
        <f>'F3 A'!J44</f>
        <v>5.4362904073447176</v>
      </c>
      <c r="K46" s="200">
        <f t="shared" si="10"/>
        <v>1.8056018621901289E-4</v>
      </c>
      <c r="L46" s="114">
        <f>'F3 A'!L44</f>
        <v>5.4362904073447176</v>
      </c>
      <c r="M46" s="200">
        <f t="shared" si="11"/>
        <v>1.7150797508175245E-4</v>
      </c>
      <c r="N46" s="56"/>
    </row>
    <row r="47" spans="2:14">
      <c r="B47" s="107">
        <v>13</v>
      </c>
      <c r="C47" s="10" t="s">
        <v>108</v>
      </c>
      <c r="D47" s="114">
        <f>'F3 A'!D45</f>
        <v>1.5247287308021791</v>
      </c>
      <c r="E47" s="200">
        <f t="shared" si="7"/>
        <v>5.9427398419521128E-5</v>
      </c>
      <c r="F47" s="114">
        <f>'F3 A'!F45</f>
        <v>1.7054392350565275</v>
      </c>
      <c r="G47" s="200">
        <f t="shared" si="8"/>
        <v>6.2968658749129394E-5</v>
      </c>
      <c r="H47" s="114">
        <f>'F3 A'!H45</f>
        <v>1.9075675073952223</v>
      </c>
      <c r="I47" s="200">
        <f t="shared" si="9"/>
        <v>6.6771415264074634E-5</v>
      </c>
      <c r="J47" s="114">
        <f>'F3 A'!J45</f>
        <v>2.1336519768465463</v>
      </c>
      <c r="K47" s="200">
        <f t="shared" si="10"/>
        <v>7.0866817148966258E-5</v>
      </c>
      <c r="L47" s="114">
        <f>'F3 A'!L45</f>
        <v>2.3865319264729772</v>
      </c>
      <c r="M47" s="200">
        <f t="shared" si="11"/>
        <v>7.52920148681416E-5</v>
      </c>
      <c r="N47" s="56"/>
    </row>
    <row r="48" spans="2:14">
      <c r="B48" s="107">
        <v>14</v>
      </c>
      <c r="C48" s="10" t="s">
        <v>109</v>
      </c>
      <c r="D48" s="114">
        <f>'F3 A'!D46</f>
        <v>0.60498985597579935</v>
      </c>
      <c r="E48" s="200">
        <f t="shared" si="7"/>
        <v>2.3579914567443891E-5</v>
      </c>
      <c r="F48" s="114">
        <f>'F3 A'!F46</f>
        <v>0.63555822495693004</v>
      </c>
      <c r="G48" s="200">
        <f t="shared" si="8"/>
        <v>2.3466241517065165E-5</v>
      </c>
      <c r="H48" s="114">
        <f>'F3 A'!H46</f>
        <v>0.66767112426850628</v>
      </c>
      <c r="I48" s="200">
        <f t="shared" si="9"/>
        <v>2.3370782803508594E-5</v>
      </c>
      <c r="J48" s="114">
        <f>'F3 A'!J46</f>
        <v>0.70140659451332055</v>
      </c>
      <c r="K48" s="200">
        <f t="shared" si="10"/>
        <v>2.3296420137795287E-5</v>
      </c>
      <c r="L48" s="114">
        <f>'F3 A'!L46</f>
        <v>0.73684661945770435</v>
      </c>
      <c r="M48" s="200">
        <f t="shared" si="11"/>
        <v>2.3246563774129144E-5</v>
      </c>
      <c r="N48" s="56"/>
    </row>
    <row r="49" spans="2:14">
      <c r="B49" s="107">
        <v>15</v>
      </c>
      <c r="C49" s="10" t="s">
        <v>110</v>
      </c>
      <c r="D49" s="114">
        <f>'F3 A'!D47</f>
        <v>27.811180341327091</v>
      </c>
      <c r="E49" s="200">
        <f t="shared" si="7"/>
        <v>1.083960747425326E-3</v>
      </c>
      <c r="F49" s="114">
        <f>'F3 A'!F47</f>
        <v>29.017967451535803</v>
      </c>
      <c r="G49" s="200">
        <f t="shared" si="8"/>
        <v>1.0714087330051004E-3</v>
      </c>
      <c r="H49" s="114">
        <f>'F3 A'!H47</f>
        <v>30.277119657777558</v>
      </c>
      <c r="I49" s="200">
        <f t="shared" si="9"/>
        <v>1.0598031901005141E-3</v>
      </c>
      <c r="J49" s="114">
        <f>'F3 A'!J47</f>
        <v>31.590909194532948</v>
      </c>
      <c r="K49" s="200">
        <f t="shared" si="10"/>
        <v>1.0492560219531881E-3</v>
      </c>
      <c r="L49" s="114">
        <f>'F3 A'!L47</f>
        <v>32.961706893438418</v>
      </c>
      <c r="M49" s="200">
        <f t="shared" si="11"/>
        <v>1.0398994867702608E-3</v>
      </c>
      <c r="N49" s="56"/>
    </row>
    <row r="50" spans="2:14">
      <c r="B50" s="68">
        <v>16</v>
      </c>
      <c r="C50" s="65" t="s">
        <v>111</v>
      </c>
      <c r="D50" s="114">
        <f>'F3 A'!D48</f>
        <v>15.168212673689592</v>
      </c>
      <c r="E50" s="200">
        <f t="shared" si="7"/>
        <v>5.9119199347489135E-4</v>
      </c>
      <c r="F50" s="114">
        <f>'F3 A'!F48</f>
        <v>15.764169893435076</v>
      </c>
      <c r="G50" s="200">
        <f t="shared" si="8"/>
        <v>5.820486676267366E-4</v>
      </c>
      <c r="H50" s="114">
        <f>'F3 A'!H48</f>
        <v>16.38354219941434</v>
      </c>
      <c r="I50" s="200">
        <f t="shared" si="9"/>
        <v>5.7348025454017834E-4</v>
      </c>
      <c r="J50" s="114">
        <f>'F3 A'!J48</f>
        <v>17.0272495675001</v>
      </c>
      <c r="K50" s="200">
        <f t="shared" si="10"/>
        <v>5.6554067614778046E-4</v>
      </c>
      <c r="L50" s="114">
        <f>'F3 A'!L48</f>
        <v>17.696248119304524</v>
      </c>
      <c r="M50" s="200">
        <f t="shared" si="11"/>
        <v>5.5829388315710253E-4</v>
      </c>
      <c r="N50" s="56"/>
    </row>
    <row r="51" spans="2:14">
      <c r="B51" s="68">
        <v>17</v>
      </c>
      <c r="C51" s="65" t="s">
        <v>112</v>
      </c>
      <c r="D51" s="114">
        <f>'F3 A'!D49</f>
        <v>10.621618110528988</v>
      </c>
      <c r="E51" s="200">
        <f t="shared" si="7"/>
        <v>4.1398520180197375E-4</v>
      </c>
      <c r="F51" s="114">
        <f>'F3 A'!F49</f>
        <v>11.03894018627553</v>
      </c>
      <c r="G51" s="200">
        <f t="shared" si="8"/>
        <v>4.0758254134958677E-4</v>
      </c>
      <c r="H51" s="114">
        <f>'F3 A'!H49</f>
        <v>11.472658795308536</v>
      </c>
      <c r="I51" s="200">
        <f t="shared" si="9"/>
        <v>4.0158246648403943E-4</v>
      </c>
      <c r="J51" s="114">
        <f>'F3 A'!J49</f>
        <v>11.923418155414312</v>
      </c>
      <c r="K51" s="200">
        <f t="shared" si="10"/>
        <v>3.9602273631299977E-4</v>
      </c>
      <c r="L51" s="114">
        <f>'F3 A'!L49</f>
        <v>12.391887795617155</v>
      </c>
      <c r="M51" s="200">
        <f t="shared" si="11"/>
        <v>3.9094813264485935E-4</v>
      </c>
      <c r="N51" s="56"/>
    </row>
    <row r="52" spans="2:14">
      <c r="B52" s="68">
        <v>18</v>
      </c>
      <c r="C52" s="65" t="s">
        <v>167</v>
      </c>
      <c r="D52" s="114">
        <f>'F3 A'!D50</f>
        <v>20</v>
      </c>
      <c r="E52" s="200">
        <f t="shared" si="7"/>
        <v>7.7951437811833745E-4</v>
      </c>
      <c r="F52" s="114">
        <f>'F3 A'!F50</f>
        <v>20</v>
      </c>
      <c r="G52" s="200">
        <f t="shared" si="8"/>
        <v>7.3844505807962456E-4</v>
      </c>
      <c r="H52" s="114">
        <f>'F3 A'!H50</f>
        <v>20</v>
      </c>
      <c r="I52" s="200">
        <f t="shared" si="9"/>
        <v>7.0006870011379884E-4</v>
      </c>
      <c r="J52" s="114">
        <f>'F3 A'!J50</f>
        <v>20</v>
      </c>
      <c r="K52" s="200">
        <f t="shared" si="10"/>
        <v>6.6427719157558787E-4</v>
      </c>
      <c r="L52" s="114">
        <f>'F3 A'!L50</f>
        <v>20</v>
      </c>
      <c r="M52" s="200">
        <f t="shared" si="11"/>
        <v>6.3097429397824677E-4</v>
      </c>
      <c r="N52" s="56"/>
    </row>
    <row r="53" spans="2:14">
      <c r="B53" s="68">
        <v>19</v>
      </c>
      <c r="C53" s="65" t="s">
        <v>168</v>
      </c>
      <c r="D53" s="114">
        <f>'F3 A'!D51</f>
        <v>20</v>
      </c>
      <c r="E53" s="200">
        <f t="shared" si="7"/>
        <v>7.7951437811833745E-4</v>
      </c>
      <c r="F53" s="114">
        <f>'F3 A'!F51</f>
        <v>20</v>
      </c>
      <c r="G53" s="200">
        <f t="shared" si="8"/>
        <v>7.3844505807962456E-4</v>
      </c>
      <c r="H53" s="114">
        <f>'F3 A'!H51</f>
        <v>20</v>
      </c>
      <c r="I53" s="200">
        <f t="shared" si="9"/>
        <v>7.0006870011379884E-4</v>
      </c>
      <c r="J53" s="114">
        <f>'F3 A'!J51</f>
        <v>20</v>
      </c>
      <c r="K53" s="200">
        <f t="shared" si="10"/>
        <v>6.6427719157558787E-4</v>
      </c>
      <c r="L53" s="114">
        <f>'F3 A'!L51</f>
        <v>20</v>
      </c>
      <c r="M53" s="200">
        <f t="shared" si="11"/>
        <v>6.3097429397824677E-4</v>
      </c>
      <c r="N53" s="56"/>
    </row>
    <row r="54" spans="2:14">
      <c r="B54" s="56"/>
      <c r="C54" s="63" t="s">
        <v>165</v>
      </c>
      <c r="D54" s="180">
        <f>SUM(D35:D53)</f>
        <v>25656.999487652574</v>
      </c>
      <c r="E54" s="95">
        <f t="shared" ref="E54:L54" si="12">SUM(E35:E53)</f>
        <v>1</v>
      </c>
      <c r="F54" s="180">
        <f t="shared" si="12"/>
        <v>27083.937770551718</v>
      </c>
      <c r="G54" s="95">
        <f t="shared" si="12"/>
        <v>1.0000000000000002</v>
      </c>
      <c r="H54" s="180">
        <f t="shared" si="12"/>
        <v>28568.624760325554</v>
      </c>
      <c r="I54" s="95">
        <f t="shared" si="12"/>
        <v>1</v>
      </c>
      <c r="J54" s="180">
        <f t="shared" si="12"/>
        <v>30107.913162820383</v>
      </c>
      <c r="K54" s="95">
        <f t="shared" si="12"/>
        <v>1</v>
      </c>
      <c r="L54" s="180">
        <f t="shared" si="12"/>
        <v>31697.012367812105</v>
      </c>
      <c r="M54" s="95">
        <f>SUM(M35:M53)</f>
        <v>1</v>
      </c>
      <c r="N54" s="56"/>
    </row>
    <row r="55" spans="2:14">
      <c r="D55" s="243"/>
    </row>
  </sheetData>
  <mergeCells count="24">
    <mergeCell ref="L33:M33"/>
    <mergeCell ref="P10:P12"/>
    <mergeCell ref="D11:E11"/>
    <mergeCell ref="F11:G11"/>
    <mergeCell ref="H11:I11"/>
    <mergeCell ref="J11:K11"/>
    <mergeCell ref="L11:M11"/>
    <mergeCell ref="N11:O11"/>
    <mergeCell ref="B2:M2"/>
    <mergeCell ref="B3:M3"/>
    <mergeCell ref="B4:M4"/>
    <mergeCell ref="B32:B34"/>
    <mergeCell ref="C32:C34"/>
    <mergeCell ref="D32:M32"/>
    <mergeCell ref="B10:B12"/>
    <mergeCell ref="C10:C12"/>
    <mergeCell ref="D10:G10"/>
    <mergeCell ref="H10:K10"/>
    <mergeCell ref="L10:O10"/>
    <mergeCell ref="N32:N34"/>
    <mergeCell ref="D33:E33"/>
    <mergeCell ref="F33:G33"/>
    <mergeCell ref="H33:I33"/>
    <mergeCell ref="J33:K33"/>
  </mergeCells>
  <pageMargins left="1.02" right="0.25" top="1" bottom="1" header="0.25" footer="0.25"/>
  <pageSetup paperSize="9" scale="46" orientation="landscape" r:id="rId1"/>
  <headerFooter alignWithMargins="0">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B2:M16"/>
  <sheetViews>
    <sheetView showGridLines="0" zoomScale="70" zoomScaleNormal="75" zoomScaleSheetLayoutView="80" workbookViewId="0">
      <selection activeCell="A9" sqref="A9"/>
    </sheetView>
  </sheetViews>
  <sheetFormatPr defaultColWidth="9.140625" defaultRowHeight="13.9"/>
  <cols>
    <col min="1" max="1" width="6.28515625" style="3" customWidth="1"/>
    <col min="2" max="2" width="7.5703125" style="3" bestFit="1" customWidth="1"/>
    <col min="3" max="3" width="42.7109375" style="3" bestFit="1" customWidth="1"/>
    <col min="4" max="4" width="13.85546875" style="3" bestFit="1" customWidth="1"/>
    <col min="5" max="5" width="15.42578125" style="3" customWidth="1"/>
    <col min="6" max="6" width="16.85546875" style="3" customWidth="1"/>
    <col min="7" max="7" width="16.5703125" style="3" customWidth="1"/>
    <col min="8" max="8" width="15.7109375" style="3" customWidth="1"/>
    <col min="9" max="9" width="19.28515625" style="3" customWidth="1"/>
    <col min="10" max="10" width="15.7109375" style="3" customWidth="1"/>
    <col min="11" max="11" width="19.7109375" style="3" bestFit="1" customWidth="1"/>
    <col min="12" max="12" width="36.5703125" style="3" bestFit="1" customWidth="1"/>
    <col min="13" max="16384" width="9.140625" style="3"/>
  </cols>
  <sheetData>
    <row r="2" spans="2:13" ht="15.6">
      <c r="B2" s="409" t="s">
        <v>19</v>
      </c>
      <c r="C2" s="409"/>
      <c r="D2" s="409"/>
      <c r="E2" s="409"/>
      <c r="F2" s="409"/>
      <c r="G2" s="409"/>
      <c r="H2" s="409"/>
      <c r="I2" s="409"/>
      <c r="J2" s="409"/>
      <c r="K2" s="35"/>
      <c r="L2" s="35"/>
      <c r="M2" s="35"/>
    </row>
    <row r="3" spans="2:13" s="1" customFormat="1" ht="15.6">
      <c r="B3" s="410" t="s">
        <v>1</v>
      </c>
      <c r="C3" s="410"/>
      <c r="D3" s="410"/>
      <c r="E3" s="410"/>
      <c r="F3" s="410"/>
      <c r="G3" s="410"/>
      <c r="H3" s="410"/>
      <c r="I3" s="410"/>
      <c r="J3" s="410"/>
      <c r="K3" s="35"/>
      <c r="L3" s="35"/>
      <c r="M3" s="35"/>
    </row>
    <row r="4" spans="2:13" s="1" customFormat="1" ht="15.6">
      <c r="B4" s="409" t="s">
        <v>172</v>
      </c>
      <c r="C4" s="409"/>
      <c r="D4" s="409"/>
      <c r="E4" s="409"/>
      <c r="F4" s="409"/>
      <c r="G4" s="409"/>
      <c r="H4" s="409"/>
      <c r="I4" s="409"/>
      <c r="J4" s="409"/>
      <c r="K4" s="35"/>
      <c r="L4" s="35"/>
      <c r="M4" s="35"/>
    </row>
    <row r="6" spans="2:13">
      <c r="B6" s="36"/>
      <c r="C6" s="36"/>
      <c r="D6" s="36"/>
      <c r="E6" s="36"/>
      <c r="F6" s="36"/>
      <c r="G6" s="36"/>
      <c r="H6" s="36"/>
      <c r="I6" s="36"/>
      <c r="J6" s="36"/>
      <c r="K6" s="41"/>
    </row>
    <row r="7" spans="2:13">
      <c r="B7" s="411" t="s">
        <v>2</v>
      </c>
      <c r="C7" s="415" t="s">
        <v>82</v>
      </c>
      <c r="D7" s="415" t="s">
        <v>173</v>
      </c>
      <c r="E7" s="415" t="s">
        <v>4</v>
      </c>
      <c r="F7" s="411" t="s">
        <v>24</v>
      </c>
      <c r="G7" s="411"/>
      <c r="H7" s="411"/>
      <c r="I7" s="411"/>
      <c r="J7" s="411"/>
      <c r="K7" s="411" t="s">
        <v>25</v>
      </c>
    </row>
    <row r="8" spans="2:13">
      <c r="B8" s="411"/>
      <c r="C8" s="415"/>
      <c r="D8" s="415"/>
      <c r="E8" s="415"/>
      <c r="F8" s="50" t="s">
        <v>26</v>
      </c>
      <c r="G8" s="50" t="s">
        <v>27</v>
      </c>
      <c r="H8" s="50" t="s">
        <v>28</v>
      </c>
      <c r="I8" s="50" t="s">
        <v>29</v>
      </c>
      <c r="J8" s="50" t="s">
        <v>30</v>
      </c>
      <c r="K8" s="411"/>
    </row>
    <row r="9" spans="2:13">
      <c r="B9" s="96">
        <v>1</v>
      </c>
      <c r="C9" s="60" t="s">
        <v>174</v>
      </c>
      <c r="D9" s="61" t="s">
        <v>175</v>
      </c>
      <c r="E9" s="96" t="s">
        <v>6</v>
      </c>
      <c r="F9" s="118">
        <f>'F1 '!E19</f>
        <v>11839.383303758337</v>
      </c>
      <c r="G9" s="118">
        <f>'F1 '!F19</f>
        <v>11955.259400466382</v>
      </c>
      <c r="H9" s="118">
        <f>'F1 '!G19</f>
        <v>13959.036673551898</v>
      </c>
      <c r="I9" s="118">
        <f>'F1 '!H19</f>
        <v>15624.037689991488</v>
      </c>
      <c r="J9" s="118">
        <f>'F1 '!I19</f>
        <v>16930.944115687405</v>
      </c>
      <c r="K9" s="61"/>
    </row>
    <row r="10" spans="2:13">
      <c r="B10" s="96">
        <v>2</v>
      </c>
      <c r="C10" s="42" t="s">
        <v>176</v>
      </c>
      <c r="D10" s="96" t="s">
        <v>81</v>
      </c>
      <c r="E10" s="96" t="s">
        <v>177</v>
      </c>
      <c r="F10" s="118">
        <f>'F3 A'!D52</f>
        <v>26687.496656458025</v>
      </c>
      <c r="G10" s="118">
        <f>'F3 A'!F52</f>
        <v>28332.71448791432</v>
      </c>
      <c r="H10" s="118">
        <f>'F3 A'!H52</f>
        <v>30081.916923597211</v>
      </c>
      <c r="I10" s="118">
        <f>'F3 A'!J52</f>
        <v>31941.750340899729</v>
      </c>
      <c r="J10" s="118">
        <f>'F3 A'!L52</f>
        <v>33919.292293213584</v>
      </c>
      <c r="K10" s="61"/>
    </row>
    <row r="11" spans="2:13">
      <c r="B11" s="96">
        <v>3</v>
      </c>
      <c r="C11" s="42" t="s">
        <v>178</v>
      </c>
      <c r="D11" s="42" t="s">
        <v>179</v>
      </c>
      <c r="E11" s="42"/>
      <c r="F11" s="119">
        <f>(F9/F10/12)*10^4</f>
        <v>369.69195275737741</v>
      </c>
      <c r="G11" s="119">
        <f t="shared" ref="G11:J11" si="0">(G9/G10/12)*10^4</f>
        <v>351.63295671175604</v>
      </c>
      <c r="H11" s="119">
        <f t="shared" si="0"/>
        <v>386.69512288189065</v>
      </c>
      <c r="I11" s="119">
        <f t="shared" si="0"/>
        <v>407.61796925244812</v>
      </c>
      <c r="J11" s="119">
        <f t="shared" si="0"/>
        <v>415.96151165067374</v>
      </c>
      <c r="K11" s="44"/>
    </row>
    <row r="12" spans="2:13" ht="27.6">
      <c r="B12" s="96">
        <v>4</v>
      </c>
      <c r="C12" s="62" t="s">
        <v>180</v>
      </c>
      <c r="D12" s="96" t="s">
        <v>181</v>
      </c>
      <c r="E12" s="44"/>
      <c r="F12" s="111">
        <f>F9*10/F14</f>
        <v>0.6333072654335502</v>
      </c>
      <c r="G12" s="111">
        <f t="shared" ref="G12:J12" si="1">G9*10/G14</f>
        <v>0.60405660703561692</v>
      </c>
      <c r="H12" s="111">
        <f t="shared" si="1"/>
        <v>0.66942581067066209</v>
      </c>
      <c r="I12" s="111">
        <f t="shared" si="1"/>
        <v>0.71258229893346081</v>
      </c>
      <c r="J12" s="111">
        <f t="shared" si="1"/>
        <v>0.73476817939225003</v>
      </c>
      <c r="K12" s="44"/>
      <c r="L12" s="266"/>
    </row>
    <row r="13" spans="2:13" ht="27.6">
      <c r="B13" s="96">
        <v>5</v>
      </c>
      <c r="C13" s="62" t="s">
        <v>180</v>
      </c>
      <c r="D13" s="96" t="s">
        <v>182</v>
      </c>
      <c r="E13" s="44"/>
      <c r="F13" s="111">
        <f>F12*0.98</f>
        <v>0.62064112012487915</v>
      </c>
      <c r="G13" s="111">
        <f t="shared" ref="G13:J13" si="2">G12*0.98</f>
        <v>0.59197547489490454</v>
      </c>
      <c r="H13" s="111">
        <f t="shared" si="2"/>
        <v>0.65603729445724879</v>
      </c>
      <c r="I13" s="111">
        <f t="shared" si="2"/>
        <v>0.69833065295479158</v>
      </c>
      <c r="J13" s="111">
        <f t="shared" si="2"/>
        <v>0.72007281580440496</v>
      </c>
      <c r="K13" s="44" t="s">
        <v>183</v>
      </c>
      <c r="L13" s="266"/>
    </row>
    <row r="14" spans="2:13" ht="27.6">
      <c r="B14" s="89">
        <v>6</v>
      </c>
      <c r="C14" s="90" t="s">
        <v>184</v>
      </c>
      <c r="D14" s="89" t="s">
        <v>185</v>
      </c>
      <c r="E14" s="256"/>
      <c r="F14" s="126">
        <f>'Demand Projections RA'!E46</f>
        <v>186945.325752</v>
      </c>
      <c r="G14" s="126">
        <f>'Demand Projections RA'!F46</f>
        <v>197916.20952771843</v>
      </c>
      <c r="H14" s="126">
        <f>'Demand Projections RA'!G46</f>
        <v>208522.53455191819</v>
      </c>
      <c r="I14" s="126">
        <f>'Demand Projections RA'!H46</f>
        <v>219259.41345127943</v>
      </c>
      <c r="J14" s="126">
        <f>'Demand Projections RA'!I46</f>
        <v>230425.65792236029</v>
      </c>
      <c r="K14" s="4"/>
    </row>
    <row r="16" spans="2:13">
      <c r="L16" s="265"/>
    </row>
  </sheetData>
  <mergeCells count="9">
    <mergeCell ref="K7:K8"/>
    <mergeCell ref="B2:J2"/>
    <mergeCell ref="B3:J3"/>
    <mergeCell ref="B4:J4"/>
    <mergeCell ref="B7:B8"/>
    <mergeCell ref="C7:C8"/>
    <mergeCell ref="F7:J7"/>
    <mergeCell ref="E7:E8"/>
    <mergeCell ref="D7:D8"/>
  </mergeCells>
  <phoneticPr fontId="0" type="noConversion"/>
  <pageMargins left="1.02" right="0.25" top="1" bottom="1" header="0.25" footer="0.25"/>
  <pageSetup paperSize="9" scale="50" orientation="landscape" r:id="rId1"/>
  <headerFooter alignWithMargins="0">
    <oddHeader>&amp;F</oddHeader>
  </headerFooter>
  <ignoredErrors>
    <ignoredError sqref="F12:J12"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T176"/>
  <sheetViews>
    <sheetView showGridLines="0" topLeftCell="A15" zoomScale="61" zoomScaleNormal="61" zoomScaleSheetLayoutView="47" workbookViewId="0">
      <selection activeCell="B29" sqref="B29:S29"/>
    </sheetView>
  </sheetViews>
  <sheetFormatPr defaultColWidth="9.140625" defaultRowHeight="13.9"/>
  <cols>
    <col min="1" max="1" width="4.140625" style="1" customWidth="1"/>
    <col min="2" max="2" width="6.28515625" style="1" customWidth="1"/>
    <col min="3" max="3" width="38.5703125" style="1" customWidth="1"/>
    <col min="4" max="4" width="19.7109375" style="1" customWidth="1"/>
    <col min="5" max="5" width="18.5703125" style="1" customWidth="1"/>
    <col min="6" max="6" width="15.7109375" style="1" customWidth="1"/>
    <col min="7" max="9" width="18.5703125" style="1" customWidth="1"/>
    <col min="10" max="12" width="17.85546875" style="1" customWidth="1"/>
    <col min="13" max="15" width="18.85546875" style="1" customWidth="1"/>
    <col min="16" max="18" width="17.85546875" style="1" customWidth="1"/>
    <col min="19" max="19" width="15.7109375" style="1" customWidth="1"/>
    <col min="20" max="20" width="17" style="1" customWidth="1"/>
    <col min="21" max="21" width="16.85546875" style="1" customWidth="1"/>
    <col min="22" max="16384" width="9.140625" style="1"/>
  </cols>
  <sheetData>
    <row r="1" spans="2:19">
      <c r="B1" s="6"/>
    </row>
    <row r="2" spans="2:19" ht="15.6">
      <c r="B2" s="409" t="s">
        <v>19</v>
      </c>
      <c r="C2" s="409"/>
      <c r="D2" s="409"/>
      <c r="E2" s="409"/>
      <c r="F2" s="409"/>
      <c r="G2" s="409"/>
      <c r="H2" s="409"/>
      <c r="I2" s="409"/>
      <c r="J2" s="409"/>
      <c r="K2" s="409"/>
      <c r="L2" s="409"/>
      <c r="M2" s="409"/>
      <c r="N2" s="409"/>
      <c r="O2" s="409"/>
      <c r="P2" s="409"/>
      <c r="Q2" s="409"/>
      <c r="R2" s="409"/>
      <c r="S2" s="409"/>
    </row>
    <row r="3" spans="2:19" ht="15.6">
      <c r="B3" s="410" t="s">
        <v>1</v>
      </c>
      <c r="C3" s="410"/>
      <c r="D3" s="410"/>
      <c r="E3" s="410"/>
      <c r="F3" s="410"/>
      <c r="G3" s="410"/>
      <c r="H3" s="410"/>
      <c r="I3" s="410"/>
      <c r="J3" s="410"/>
      <c r="K3" s="410"/>
      <c r="L3" s="410"/>
      <c r="M3" s="410"/>
      <c r="N3" s="410"/>
      <c r="O3" s="410"/>
      <c r="P3" s="410"/>
      <c r="Q3" s="410"/>
      <c r="R3" s="410"/>
      <c r="S3" s="410"/>
    </row>
    <row r="4" spans="2:19" ht="15.6">
      <c r="B4" s="409" t="s">
        <v>186</v>
      </c>
      <c r="C4" s="409"/>
      <c r="D4" s="409"/>
      <c r="E4" s="409"/>
      <c r="F4" s="409"/>
      <c r="G4" s="409"/>
      <c r="H4" s="409"/>
      <c r="I4" s="409"/>
      <c r="J4" s="409"/>
      <c r="K4" s="409"/>
      <c r="L4" s="409"/>
      <c r="M4" s="409"/>
      <c r="N4" s="409"/>
      <c r="O4" s="409"/>
      <c r="P4" s="409"/>
      <c r="Q4" s="409"/>
      <c r="R4" s="409"/>
      <c r="S4" s="409"/>
    </row>
    <row r="5" spans="2:19">
      <c r="B5" s="2"/>
      <c r="C5" s="2"/>
    </row>
    <row r="6" spans="2:19">
      <c r="B6" s="2"/>
      <c r="C6" s="2"/>
    </row>
    <row r="7" spans="2:19">
      <c r="B7" s="433" t="s">
        <v>2</v>
      </c>
      <c r="C7" s="415" t="s">
        <v>82</v>
      </c>
      <c r="D7" s="430" t="s">
        <v>51</v>
      </c>
      <c r="E7" s="431"/>
      <c r="F7" s="431"/>
      <c r="G7" s="431"/>
      <c r="H7" s="431"/>
      <c r="I7" s="432"/>
      <c r="J7" s="430" t="s">
        <v>52</v>
      </c>
      <c r="K7" s="431"/>
      <c r="L7" s="431"/>
      <c r="M7" s="431"/>
      <c r="N7" s="431"/>
      <c r="O7" s="432"/>
    </row>
    <row r="8" spans="2:19">
      <c r="B8" s="434"/>
      <c r="C8" s="415"/>
      <c r="D8" s="430" t="s">
        <v>187</v>
      </c>
      <c r="E8" s="431"/>
      <c r="F8" s="432"/>
      <c r="G8" s="430" t="s">
        <v>56</v>
      </c>
      <c r="H8" s="431"/>
      <c r="I8" s="432"/>
      <c r="J8" s="430" t="s">
        <v>54</v>
      </c>
      <c r="K8" s="431"/>
      <c r="L8" s="432"/>
      <c r="M8" s="430" t="s">
        <v>56</v>
      </c>
      <c r="N8" s="431"/>
      <c r="O8" s="432"/>
    </row>
    <row r="9" spans="2:19" ht="41.45">
      <c r="B9" s="435"/>
      <c r="C9" s="416"/>
      <c r="D9" s="50" t="s">
        <v>188</v>
      </c>
      <c r="E9" s="50" t="s">
        <v>189</v>
      </c>
      <c r="F9" s="50" t="s">
        <v>190</v>
      </c>
      <c r="G9" s="50" t="s">
        <v>188</v>
      </c>
      <c r="H9" s="50" t="s">
        <v>189</v>
      </c>
      <c r="I9" s="50" t="s">
        <v>190</v>
      </c>
      <c r="J9" s="50" t="s">
        <v>188</v>
      </c>
      <c r="K9" s="50" t="s">
        <v>189</v>
      </c>
      <c r="L9" s="50" t="s">
        <v>190</v>
      </c>
      <c r="M9" s="50" t="s">
        <v>188</v>
      </c>
      <c r="N9" s="50" t="s">
        <v>189</v>
      </c>
      <c r="O9" s="50" t="s">
        <v>190</v>
      </c>
    </row>
    <row r="10" spans="2:19">
      <c r="B10" s="68">
        <v>1</v>
      </c>
      <c r="C10" s="10" t="s">
        <v>96</v>
      </c>
      <c r="D10" s="84">
        <f>'F3 A'!D11</f>
        <v>18858.34</v>
      </c>
      <c r="E10" s="202">
        <f t="shared" ref="E10:E24" si="0">D10/$D$25</f>
        <v>0.83855915208248666</v>
      </c>
      <c r="F10" s="121">
        <f t="shared" ref="F10:F24" si="1">E10*$F$25</f>
        <v>5885.4099386011258</v>
      </c>
      <c r="G10" s="84">
        <f>F3B!F13</f>
        <v>20876.558717547006</v>
      </c>
      <c r="H10" s="202">
        <f t="shared" ref="H10:H25" si="2">G10/$G$25</f>
        <v>0.85198213915230869</v>
      </c>
      <c r="I10" s="84">
        <f t="shared" ref="I10:I24" si="3">H10*$I$25</f>
        <v>5979.6188937001853</v>
      </c>
      <c r="J10" s="84">
        <f>F3B!H13</f>
        <v>22179.26</v>
      </c>
      <c r="K10" s="202">
        <f t="shared" ref="K10:K24" si="4">J10/$J$25</f>
        <v>0.85894179332737197</v>
      </c>
      <c r="L10" s="84">
        <f>'True Up FY23 FY24'!D30</f>
        <v>8562.9599999999991</v>
      </c>
      <c r="M10" s="84">
        <f>F3B!J13</f>
        <v>22356.588399600649</v>
      </c>
      <c r="N10" s="184">
        <f t="shared" ref="N10:N23" si="5">M10/$M$25</f>
        <v>0.85317840936713862</v>
      </c>
      <c r="O10" s="84">
        <f>'True Up FY23 FY24'!I30</f>
        <v>8329.4395334182718</v>
      </c>
      <c r="P10" s="94"/>
    </row>
    <row r="11" spans="2:19">
      <c r="B11" s="68">
        <v>2</v>
      </c>
      <c r="C11" s="10" t="s">
        <v>97</v>
      </c>
      <c r="D11" s="84">
        <f>'F3 A'!D12</f>
        <v>830.26</v>
      </c>
      <c r="E11" s="202">
        <f t="shared" si="0"/>
        <v>3.6918526318223413E-2</v>
      </c>
      <c r="F11" s="121">
        <f t="shared" si="1"/>
        <v>259.11190781494923</v>
      </c>
      <c r="G11" s="84">
        <f>F3B!F14</f>
        <v>840.76851174359581</v>
      </c>
      <c r="H11" s="202">
        <f t="shared" si="2"/>
        <v>3.4312156752402692E-2</v>
      </c>
      <c r="I11" s="84">
        <f t="shared" si="3"/>
        <v>240.81915731755811</v>
      </c>
      <c r="J11" s="84">
        <f>F3B!H14</f>
        <v>857.41</v>
      </c>
      <c r="K11" s="202">
        <f t="shared" si="4"/>
        <v>3.3205133219810848E-2</v>
      </c>
      <c r="L11" s="84">
        <f>'True Up FY23 FY24'!D31</f>
        <v>277</v>
      </c>
      <c r="M11" s="84">
        <f>F3B!J14</f>
        <v>887.88524415390566</v>
      </c>
      <c r="N11" s="184">
        <f t="shared" si="5"/>
        <v>3.388372620937613E-2</v>
      </c>
      <c r="O11" s="84">
        <f>'True Up FY23 FY24'!I31</f>
        <v>317.40793213332097</v>
      </c>
    </row>
    <row r="12" spans="2:19">
      <c r="B12" s="68">
        <v>3</v>
      </c>
      <c r="C12" s="10" t="s">
        <v>98</v>
      </c>
      <c r="D12" s="84">
        <f>'F3 A'!D13</f>
        <v>1544.7</v>
      </c>
      <c r="E12" s="202">
        <f t="shared" si="0"/>
        <v>6.8686974687157898E-2</v>
      </c>
      <c r="F12" s="121">
        <f t="shared" si="1"/>
        <v>482.07810083799313</v>
      </c>
      <c r="G12" s="84">
        <f>F3B!F15</f>
        <v>1520.3184966791343</v>
      </c>
      <c r="H12" s="202">
        <f t="shared" si="2"/>
        <v>6.2044909916345967E-2</v>
      </c>
      <c r="I12" s="84">
        <f t="shared" si="3"/>
        <v>435.46090762283438</v>
      </c>
      <c r="J12" s="84">
        <f>F3B!H15</f>
        <v>1531.17</v>
      </c>
      <c r="K12" s="202">
        <f t="shared" si="4"/>
        <v>5.9298006592152862E-2</v>
      </c>
      <c r="L12" s="84">
        <f>'True Up FY23 FY24'!D32</f>
        <v>490.65</v>
      </c>
      <c r="M12" s="84">
        <f>F3B!J15</f>
        <v>1620.5122889019176</v>
      </c>
      <c r="N12" s="184">
        <f t="shared" si="5"/>
        <v>6.1842445380885396E-2</v>
      </c>
      <c r="O12" s="84">
        <f>'True Up FY23 FY24'!I32</f>
        <v>579.3129889292685</v>
      </c>
    </row>
    <row r="13" spans="2:19">
      <c r="B13" s="68">
        <v>4</v>
      </c>
      <c r="C13" s="10" t="s">
        <v>99</v>
      </c>
      <c r="D13" s="84">
        <f>'F3 A'!D14</f>
        <v>822.52</v>
      </c>
      <c r="E13" s="202">
        <f t="shared" si="0"/>
        <v>3.6574357752107919E-2</v>
      </c>
      <c r="F13" s="121">
        <f t="shared" si="1"/>
        <v>256.69636790397232</v>
      </c>
      <c r="G13" s="84">
        <f>F3B!F16</f>
        <v>766.74492025824748</v>
      </c>
      <c r="H13" s="202">
        <f t="shared" si="2"/>
        <v>3.1291219313685108E-2</v>
      </c>
      <c r="I13" s="84">
        <f t="shared" si="3"/>
        <v>219.61677084122309</v>
      </c>
      <c r="J13" s="84">
        <f>F3B!H16</f>
        <v>778.7</v>
      </c>
      <c r="K13" s="202">
        <f t="shared" si="4"/>
        <v>3.0156911207318216E-2</v>
      </c>
      <c r="L13" s="84">
        <f>'True Up FY23 FY24'!D33</f>
        <v>232.1</v>
      </c>
      <c r="M13" s="84">
        <f>F3B!J16</f>
        <v>809.62212685602651</v>
      </c>
      <c r="N13" s="184">
        <f t="shared" si="5"/>
        <v>3.0897027132807224E-2</v>
      </c>
      <c r="O13" s="84">
        <f>'True Up FY23 FY24'!I33</f>
        <v>289.42984105973915</v>
      </c>
    </row>
    <row r="14" spans="2:19">
      <c r="B14" s="68">
        <v>5</v>
      </c>
      <c r="C14" s="10" t="s">
        <v>100</v>
      </c>
      <c r="D14" s="84">
        <f>'F3 A'!D15</f>
        <v>387.97</v>
      </c>
      <c r="E14" s="202">
        <f t="shared" si="0"/>
        <v>1.725156054209662E-2</v>
      </c>
      <c r="F14" s="121">
        <f t="shared" si="1"/>
        <v>121.07971825086825</v>
      </c>
      <c r="G14" s="84">
        <f>F3B!F17</f>
        <v>465.27687453063868</v>
      </c>
      <c r="H14" s="202">
        <f t="shared" si="2"/>
        <v>1.8988167169885543E-2</v>
      </c>
      <c r="I14" s="84">
        <f t="shared" si="3"/>
        <v>133.2680556880633</v>
      </c>
      <c r="J14" s="84">
        <f>F3B!H17</f>
        <v>412.77</v>
      </c>
      <c r="K14" s="202">
        <f t="shared" si="4"/>
        <v>1.598544784775233E-2</v>
      </c>
      <c r="L14" s="84">
        <f>'True Up FY23 FY24'!D34</f>
        <v>125.18</v>
      </c>
      <c r="M14" s="84">
        <f>F3B!J17</f>
        <v>476.29576368417844</v>
      </c>
      <c r="N14" s="184">
        <f t="shared" si="5"/>
        <v>1.8176532786891256E-2</v>
      </c>
      <c r="O14" s="84">
        <f>'True Up FY23 FY24'!I34</f>
        <v>170.26981181438632</v>
      </c>
    </row>
    <row r="15" spans="2:19">
      <c r="B15" s="68">
        <v>6</v>
      </c>
      <c r="C15" s="10" t="s">
        <v>101</v>
      </c>
      <c r="D15" s="84">
        <f>'F3 A'!D16</f>
        <v>15.8</v>
      </c>
      <c r="E15" s="202">
        <f t="shared" si="0"/>
        <v>7.0256632359493411E-4</v>
      </c>
      <c r="F15" s="121">
        <f t="shared" si="1"/>
        <v>4.9309471050950293</v>
      </c>
      <c r="G15" s="84">
        <f>F3B!F18</f>
        <v>8.8263642335825754</v>
      </c>
      <c r="H15" s="202">
        <f t="shared" si="2"/>
        <v>3.6020805834941259E-4</v>
      </c>
      <c r="I15" s="84">
        <f t="shared" si="3"/>
        <v>2.5281127530587266</v>
      </c>
      <c r="J15" s="84">
        <f>F3B!H18</f>
        <v>13</v>
      </c>
      <c r="K15" s="202">
        <f t="shared" si="4"/>
        <v>5.0345427725072148E-4</v>
      </c>
      <c r="L15" s="84">
        <f>'True Up FY23 FY24'!D35</f>
        <v>1.56</v>
      </c>
      <c r="M15" s="84">
        <f>F3B!J18</f>
        <v>9.6288927584068791</v>
      </c>
      <c r="N15" s="184">
        <f t="shared" si="5"/>
        <v>3.6746051144955047E-4</v>
      </c>
      <c r="O15" s="84">
        <f>'True Up FY23 FY24'!I35</f>
        <v>3.4422094063426747</v>
      </c>
    </row>
    <row r="16" spans="2:19">
      <c r="B16" s="68">
        <v>7</v>
      </c>
      <c r="C16" s="10" t="s">
        <v>102</v>
      </c>
      <c r="D16" s="84">
        <f>'F3 A'!D17</f>
        <v>8</v>
      </c>
      <c r="E16" s="202">
        <f t="shared" si="0"/>
        <v>3.5572978409870079E-4</v>
      </c>
      <c r="F16" s="121">
        <f t="shared" si="1"/>
        <v>2.4966820785291284</v>
      </c>
      <c r="G16" s="84">
        <f>F3B!F19</f>
        <v>4.9591404052703156</v>
      </c>
      <c r="H16" s="202">
        <f t="shared" si="2"/>
        <v>2.0238484263632983E-4</v>
      </c>
      <c r="I16" s="84">
        <f t="shared" si="3"/>
        <v>1.4204338016179847</v>
      </c>
      <c r="J16" s="84">
        <f>F3B!H19</f>
        <v>5.5</v>
      </c>
      <c r="K16" s="202">
        <f t="shared" si="4"/>
        <v>2.1299988652915137E-4</v>
      </c>
      <c r="L16" s="84">
        <f>'True Up FY23 FY24'!D36</f>
        <v>0.52</v>
      </c>
      <c r="M16" s="84">
        <f>F3B!J19</f>
        <v>4.7581209253517445</v>
      </c>
      <c r="N16" s="184">
        <f t="shared" si="5"/>
        <v>1.8158074792577091E-4</v>
      </c>
      <c r="O16" s="84">
        <f>'True Up FY23 FY24'!I36</f>
        <v>1.7009690539404798</v>
      </c>
    </row>
    <row r="17" spans="2:19">
      <c r="B17" s="68">
        <v>8</v>
      </c>
      <c r="C17" s="10" t="s">
        <v>103</v>
      </c>
      <c r="D17" s="84">
        <f>'F3 A'!D18</f>
        <v>8.5</v>
      </c>
      <c r="E17" s="202">
        <f t="shared" si="0"/>
        <v>3.7796289560486959E-4</v>
      </c>
      <c r="F17" s="121">
        <f t="shared" si="1"/>
        <v>2.6527247084371988</v>
      </c>
      <c r="G17" s="84">
        <f>F3B!F20</f>
        <v>4.2261638574231251</v>
      </c>
      <c r="H17" s="202">
        <f t="shared" si="2"/>
        <v>1.7247172641672806E-4</v>
      </c>
      <c r="I17" s="84">
        <f t="shared" si="3"/>
        <v>1.210489218631599</v>
      </c>
      <c r="J17" s="84">
        <f>F3B!H20</f>
        <v>6</v>
      </c>
      <c r="K17" s="202">
        <f t="shared" si="4"/>
        <v>2.3236351257725606E-4</v>
      </c>
      <c r="L17" s="84">
        <f>'True Up FY23 FY24'!D37</f>
        <v>1.22</v>
      </c>
      <c r="M17" s="84">
        <f>F3B!J20</f>
        <v>4.8354931743877367</v>
      </c>
      <c r="N17" s="184">
        <f t="shared" si="5"/>
        <v>1.8453344943736939E-4</v>
      </c>
      <c r="O17" s="84">
        <f>'True Up FY23 FY24'!I37</f>
        <v>1.7286286706901883</v>
      </c>
    </row>
    <row r="18" spans="2:19">
      <c r="B18" s="68">
        <v>9</v>
      </c>
      <c r="C18" s="10" t="s">
        <v>104</v>
      </c>
      <c r="D18" s="84">
        <f>'F3 A'!D19</f>
        <v>0.53</v>
      </c>
      <c r="E18" s="202">
        <f t="shared" si="0"/>
        <v>2.356709819653893E-5</v>
      </c>
      <c r="F18" s="121">
        <f t="shared" si="1"/>
        <v>0.16540518770255477</v>
      </c>
      <c r="G18" s="84">
        <f>F3B!F21</f>
        <v>3.3330259296032971</v>
      </c>
      <c r="H18" s="202">
        <f t="shared" si="2"/>
        <v>1.3602234926615297E-4</v>
      </c>
      <c r="I18" s="84">
        <f t="shared" si="3"/>
        <v>0.9546700244756765</v>
      </c>
      <c r="J18" s="84">
        <f>F3B!H21</f>
        <v>4.5</v>
      </c>
      <c r="K18" s="202">
        <f t="shared" si="4"/>
        <v>1.7427263443294203E-4</v>
      </c>
      <c r="L18" s="84">
        <f>'True Up FY23 FY24'!D38</f>
        <v>1.59</v>
      </c>
      <c r="M18" s="84">
        <f>F3B!J21</f>
        <v>5.00902343187059</v>
      </c>
      <c r="N18" s="184">
        <f t="shared" si="5"/>
        <v>1.9115575989055712E-4</v>
      </c>
      <c r="O18" s="84">
        <f>'True Up FY23 FY24'!I38</f>
        <v>1.790663579540017</v>
      </c>
    </row>
    <row r="19" spans="2:19">
      <c r="B19" s="68">
        <v>10</v>
      </c>
      <c r="C19" s="10" t="s">
        <v>105</v>
      </c>
      <c r="D19" s="84">
        <f>'F3 A'!D20</f>
        <v>12.36</v>
      </c>
      <c r="E19" s="202">
        <f t="shared" si="0"/>
        <v>5.4960251643249274E-4</v>
      </c>
      <c r="F19" s="121">
        <f t="shared" si="1"/>
        <v>3.8573738113275033</v>
      </c>
      <c r="G19" s="84">
        <f>F3B!F22</f>
        <v>12.504652338592978</v>
      </c>
      <c r="H19" s="202">
        <f t="shared" si="2"/>
        <v>5.1032071870330637E-4</v>
      </c>
      <c r="I19" s="84">
        <f t="shared" si="3"/>
        <v>3.581675332350398</v>
      </c>
      <c r="J19" s="84">
        <f>F3B!H22</f>
        <v>15</v>
      </c>
      <c r="K19" s="202">
        <f t="shared" si="4"/>
        <v>5.8090878144314011E-4</v>
      </c>
      <c r="L19" s="84">
        <f>'True Up FY23 FY24'!D39</f>
        <v>5.14</v>
      </c>
      <c r="M19" s="84">
        <f>F3B!J22</f>
        <v>13.642857587808855</v>
      </c>
      <c r="N19" s="184">
        <f t="shared" si="5"/>
        <v>5.2064256531184679E-4</v>
      </c>
      <c r="O19" s="84">
        <f>'True Up FY23 FY24'!I39</f>
        <v>4.8771519110696859</v>
      </c>
    </row>
    <row r="20" spans="2:19">
      <c r="B20" s="68">
        <v>11</v>
      </c>
      <c r="C20" s="10" t="s">
        <v>106</v>
      </c>
      <c r="D20" s="84">
        <f>'F3 A'!D21</f>
        <v>0</v>
      </c>
      <c r="E20" s="202">
        <f t="shared" si="0"/>
        <v>0</v>
      </c>
      <c r="F20" s="121">
        <f t="shared" si="1"/>
        <v>0</v>
      </c>
      <c r="G20" s="84">
        <f>'True Up FY23 FY24'!G18</f>
        <v>0</v>
      </c>
      <c r="H20" s="202">
        <f t="shared" si="2"/>
        <v>0</v>
      </c>
      <c r="I20" s="84">
        <f t="shared" si="3"/>
        <v>0</v>
      </c>
      <c r="J20" s="84">
        <f>F3B!H23</f>
        <v>9</v>
      </c>
      <c r="K20" s="202">
        <f t="shared" si="4"/>
        <v>3.4854526886588406E-4</v>
      </c>
      <c r="L20" s="84">
        <f>'True Up FY23 FY24'!D40</f>
        <v>3.38</v>
      </c>
      <c r="M20" s="84">
        <f>F3B!J23</f>
        <v>7.8086218578848205</v>
      </c>
      <c r="N20" s="184">
        <f t="shared" si="5"/>
        <v>2.979948217939481E-4</v>
      </c>
      <c r="O20" s="84">
        <f>'True Up FY23 FY24'!I40</f>
        <v>2.7914851981622149</v>
      </c>
    </row>
    <row r="21" spans="2:19">
      <c r="B21" s="68">
        <v>12</v>
      </c>
      <c r="C21" s="10" t="s">
        <v>107</v>
      </c>
      <c r="D21" s="84">
        <f>'F3 A'!D22</f>
        <v>0</v>
      </c>
      <c r="E21" s="202">
        <f t="shared" si="0"/>
        <v>0</v>
      </c>
      <c r="F21" s="121">
        <f t="shared" si="1"/>
        <v>0</v>
      </c>
      <c r="G21" s="84">
        <f>'True Up FY23 FY24'!G19</f>
        <v>0</v>
      </c>
      <c r="H21" s="202">
        <f t="shared" si="2"/>
        <v>0</v>
      </c>
      <c r="I21" s="84">
        <f t="shared" si="3"/>
        <v>0</v>
      </c>
      <c r="J21" s="84">
        <f>F3B!H24</f>
        <v>7</v>
      </c>
      <c r="K21" s="202">
        <f t="shared" si="4"/>
        <v>2.7109076467346537E-4</v>
      </c>
      <c r="L21" s="84">
        <f>'True Up FY23 FY24'!D41</f>
        <v>2.63</v>
      </c>
      <c r="M21" s="84">
        <f>F3B!J24</f>
        <v>5.5719009025949369</v>
      </c>
      <c r="N21" s="184">
        <f t="shared" si="5"/>
        <v>2.1263644811353189E-4</v>
      </c>
      <c r="O21" s="84">
        <f>'True Up FY23 FY24'!I41</f>
        <v>1.9918852748023379</v>
      </c>
    </row>
    <row r="22" spans="2:19">
      <c r="B22" s="68">
        <v>13</v>
      </c>
      <c r="C22" s="10" t="s">
        <v>108</v>
      </c>
      <c r="D22" s="84">
        <f>'F3 A'!D23</f>
        <v>0</v>
      </c>
      <c r="E22" s="202">
        <f t="shared" si="0"/>
        <v>0</v>
      </c>
      <c r="F22" s="121">
        <f t="shared" si="1"/>
        <v>0</v>
      </c>
      <c r="G22" s="84">
        <f>'True Up FY23 FY24'!G20</f>
        <v>0</v>
      </c>
      <c r="H22" s="202">
        <f t="shared" si="2"/>
        <v>0</v>
      </c>
      <c r="I22" s="84">
        <f t="shared" si="3"/>
        <v>0</v>
      </c>
      <c r="J22" s="84">
        <f>F3B!H25</f>
        <v>1.5</v>
      </c>
      <c r="K22" s="202">
        <f t="shared" si="4"/>
        <v>5.8090878144314014E-5</v>
      </c>
      <c r="L22" s="84">
        <f>'True Up FY23 FY24'!D42</f>
        <v>0.56000000000000005</v>
      </c>
      <c r="M22" s="84">
        <f>F3B!J25</f>
        <v>1.1110843832780235</v>
      </c>
      <c r="N22" s="184">
        <f t="shared" si="5"/>
        <v>4.2401514482180358E-5</v>
      </c>
      <c r="O22" s="84">
        <f>'True Up FY23 FY24'!I42</f>
        <v>0.39719884843673842</v>
      </c>
    </row>
    <row r="23" spans="2:19">
      <c r="B23" s="68">
        <v>14</v>
      </c>
      <c r="C23" s="10" t="s">
        <v>109</v>
      </c>
      <c r="D23" s="84">
        <f>'F3 A'!D24</f>
        <v>0</v>
      </c>
      <c r="E23" s="202">
        <f t="shared" si="0"/>
        <v>0</v>
      </c>
      <c r="F23" s="121">
        <f t="shared" si="1"/>
        <v>0</v>
      </c>
      <c r="G23" s="84">
        <f>'True Up FY23 FY24'!G21</f>
        <v>0</v>
      </c>
      <c r="H23" s="202">
        <f t="shared" si="2"/>
        <v>0</v>
      </c>
      <c r="I23" s="84">
        <f t="shared" si="3"/>
        <v>0</v>
      </c>
      <c r="J23" s="84">
        <f>F3B!H26</f>
        <v>0.8</v>
      </c>
      <c r="K23" s="202">
        <f t="shared" si="4"/>
        <v>3.0981801676967473E-5</v>
      </c>
      <c r="L23" s="84">
        <f>'True Up FY23 FY24'!D43</f>
        <v>0.3</v>
      </c>
      <c r="M23" s="84">
        <f>F3B!J26</f>
        <v>0.61456767949111812</v>
      </c>
      <c r="N23" s="184">
        <f t="shared" si="5"/>
        <v>2.34533044964075E-5</v>
      </c>
      <c r="O23" s="84">
        <f>'True Up FY23 FY24'!I43</f>
        <v>0.21970030202398119</v>
      </c>
    </row>
    <row r="24" spans="2:19">
      <c r="B24" s="68">
        <v>15</v>
      </c>
      <c r="C24" s="10" t="s">
        <v>110</v>
      </c>
      <c r="D24" s="84">
        <f>'F3 A'!D25</f>
        <v>0</v>
      </c>
      <c r="E24" s="202">
        <f t="shared" si="0"/>
        <v>0</v>
      </c>
      <c r="F24" s="121">
        <f t="shared" si="1"/>
        <v>0</v>
      </c>
      <c r="G24" s="84">
        <f>F3B!F27</f>
        <v>0</v>
      </c>
      <c r="H24" s="202">
        <f t="shared" si="2"/>
        <v>0</v>
      </c>
      <c r="I24" s="84">
        <f t="shared" si="3"/>
        <v>0</v>
      </c>
      <c r="J24" s="84">
        <f>F3B!H27</f>
        <v>0</v>
      </c>
      <c r="K24" s="202">
        <f t="shared" si="4"/>
        <v>0</v>
      </c>
      <c r="L24" s="84">
        <f t="shared" ref="L24" si="6">K24*$L$25</f>
        <v>0</v>
      </c>
      <c r="M24" s="84">
        <v>0</v>
      </c>
      <c r="N24" s="184">
        <v>0</v>
      </c>
      <c r="O24" s="84">
        <v>0</v>
      </c>
    </row>
    <row r="25" spans="2:19">
      <c r="B25" s="56"/>
      <c r="C25" s="55" t="s">
        <v>191</v>
      </c>
      <c r="D25" s="126">
        <f>SUM(D10:D24)</f>
        <v>22488.98</v>
      </c>
      <c r="E25" s="95">
        <f>SUM(E10:E24)</f>
        <v>1</v>
      </c>
      <c r="F25" s="126">
        <f>'True Up FY23 FY24'!D22</f>
        <v>7018.4791662999996</v>
      </c>
      <c r="G25" s="126">
        <f>SUM(G10:G24)</f>
        <v>24503.516867523096</v>
      </c>
      <c r="H25" s="201">
        <f t="shared" si="2"/>
        <v>1</v>
      </c>
      <c r="I25" s="126">
        <f>'True Up FY23 FY24'!I22</f>
        <v>7018.4791662999987</v>
      </c>
      <c r="J25" s="126">
        <f>SUM(J10:J24)</f>
        <v>25821.609999999997</v>
      </c>
      <c r="K25" s="201">
        <f>SUM(K10:K24)</f>
        <v>1.0000000000000002</v>
      </c>
      <c r="L25" s="126">
        <f>'True Up FY23 FY24'!D44</f>
        <v>9704.7899999999954</v>
      </c>
      <c r="M25" s="126">
        <f>SUM(M10:M24)</f>
        <v>26203.884385897756</v>
      </c>
      <c r="N25" s="201">
        <f>SUM(N10:N24)</f>
        <v>0.99999999999999956</v>
      </c>
      <c r="O25" s="126">
        <f>'True Up FY23 FY24'!I44</f>
        <v>9704.7999995999962</v>
      </c>
    </row>
    <row r="26" spans="2:19">
      <c r="B26" s="2"/>
      <c r="C26" s="2"/>
    </row>
    <row r="27" spans="2:19">
      <c r="B27" s="2"/>
      <c r="C27" s="2"/>
    </row>
    <row r="28" spans="2:19">
      <c r="B28" s="2"/>
      <c r="C28" s="2"/>
    </row>
    <row r="29" spans="2:19" ht="15.6">
      <c r="B29" s="409" t="s">
        <v>192</v>
      </c>
      <c r="C29" s="409"/>
      <c r="D29" s="409"/>
      <c r="E29" s="409"/>
      <c r="F29" s="409"/>
      <c r="G29" s="409"/>
      <c r="H29" s="409"/>
      <c r="I29" s="409"/>
      <c r="J29" s="409"/>
      <c r="K29" s="409"/>
      <c r="L29" s="409"/>
      <c r="M29" s="409"/>
      <c r="N29" s="409"/>
      <c r="O29" s="409"/>
      <c r="P29" s="409"/>
      <c r="Q29" s="409"/>
      <c r="R29" s="409"/>
      <c r="S29" s="409"/>
    </row>
    <row r="30" spans="2:19" s="16" customFormat="1">
      <c r="B30" s="403" t="s">
        <v>2</v>
      </c>
      <c r="C30" s="406" t="s">
        <v>193</v>
      </c>
      <c r="D30" s="425" t="s">
        <v>24</v>
      </c>
      <c r="E30" s="426"/>
      <c r="F30" s="426"/>
      <c r="G30" s="426"/>
      <c r="H30" s="426"/>
      <c r="I30" s="427"/>
      <c r="J30" s="425" t="s">
        <v>24</v>
      </c>
      <c r="K30" s="426"/>
      <c r="L30" s="426"/>
      <c r="M30" s="426"/>
      <c r="N30" s="426"/>
      <c r="O30" s="426"/>
      <c r="P30" s="426"/>
      <c r="Q30" s="426"/>
      <c r="R30" s="427"/>
      <c r="S30" s="428" t="s">
        <v>25</v>
      </c>
    </row>
    <row r="31" spans="2:19" s="16" customFormat="1">
      <c r="B31" s="404"/>
      <c r="C31" s="406"/>
      <c r="D31" s="430" t="s">
        <v>26</v>
      </c>
      <c r="E31" s="431"/>
      <c r="F31" s="432"/>
      <c r="G31" s="430" t="s">
        <v>27</v>
      </c>
      <c r="H31" s="431"/>
      <c r="I31" s="432"/>
      <c r="J31" s="430" t="s">
        <v>28</v>
      </c>
      <c r="K31" s="431"/>
      <c r="L31" s="432"/>
      <c r="M31" s="430" t="s">
        <v>29</v>
      </c>
      <c r="N31" s="431"/>
      <c r="O31" s="432"/>
      <c r="P31" s="430" t="s">
        <v>30</v>
      </c>
      <c r="Q31" s="431"/>
      <c r="R31" s="432"/>
      <c r="S31" s="428"/>
    </row>
    <row r="32" spans="2:19" s="16" customFormat="1" ht="41.45">
      <c r="B32" s="423"/>
      <c r="C32" s="424"/>
      <c r="D32" s="50" t="s">
        <v>188</v>
      </c>
      <c r="E32" s="45" t="s">
        <v>189</v>
      </c>
      <c r="F32" s="45" t="s">
        <v>190</v>
      </c>
      <c r="G32" s="50" t="s">
        <v>188</v>
      </c>
      <c r="H32" s="45" t="s">
        <v>189</v>
      </c>
      <c r="I32" s="45" t="s">
        <v>190</v>
      </c>
      <c r="J32" s="50" t="s">
        <v>188</v>
      </c>
      <c r="K32" s="45" t="s">
        <v>189</v>
      </c>
      <c r="L32" s="45" t="s">
        <v>190</v>
      </c>
      <c r="M32" s="50" t="s">
        <v>188</v>
      </c>
      <c r="N32" s="45" t="s">
        <v>189</v>
      </c>
      <c r="O32" s="45" t="s">
        <v>190</v>
      </c>
      <c r="P32" s="45" t="s">
        <v>188</v>
      </c>
      <c r="Q32" s="45" t="s">
        <v>189</v>
      </c>
      <c r="R32" s="45" t="s">
        <v>190</v>
      </c>
      <c r="S32" s="429"/>
    </row>
    <row r="33" spans="2:20" s="8" customFormat="1">
      <c r="B33" s="68">
        <v>1</v>
      </c>
      <c r="C33" s="10" t="s">
        <v>96</v>
      </c>
      <c r="D33" s="121">
        <f>F3B!D35</f>
        <v>21623.383428000674</v>
      </c>
      <c r="E33" s="202">
        <f>F3B!E35</f>
        <v>0.8427869142846155</v>
      </c>
      <c r="F33" s="121">
        <f>E33*$F$52+'True Up FY23 FY24'!N30</f>
        <v>9706.368958862864</v>
      </c>
      <c r="G33" s="121">
        <f>F3B!F35</f>
        <v>22819.528507745523</v>
      </c>
      <c r="H33" s="202">
        <f>F3B!G35</f>
        <v>0.84254840271258946</v>
      </c>
      <c r="I33" s="121">
        <f>H33*$I$52</f>
        <v>10072.884711877621</v>
      </c>
      <c r="J33" s="121">
        <f>F3B!H35</f>
        <v>24057.74913949913</v>
      </c>
      <c r="K33" s="202">
        <f>F3B!I35</f>
        <v>0.84210385838765101</v>
      </c>
      <c r="L33" s="121">
        <f>K33*$L$52</f>
        <v>11754.958642172774</v>
      </c>
      <c r="M33" s="121">
        <f>F3B!J35</f>
        <v>25333.765492418705</v>
      </c>
      <c r="N33" s="202">
        <f>F3B!K35</f>
        <v>0.84143212966692182</v>
      </c>
      <c r="O33" s="121">
        <f>N33*$O$52</f>
        <v>13146.567307485791</v>
      </c>
      <c r="P33" s="121">
        <f>F3B!L35</f>
        <v>26641.56750743954</v>
      </c>
      <c r="Q33" s="202">
        <f>F3B!M35</f>
        <v>0.84050721242402326</v>
      </c>
      <c r="R33" s="121">
        <f>Q33*$R$52</f>
        <v>14230.58064238334</v>
      </c>
      <c r="S33" s="11"/>
      <c r="T33" s="1"/>
    </row>
    <row r="34" spans="2:20" s="8" customFormat="1">
      <c r="B34" s="68">
        <v>2</v>
      </c>
      <c r="C34" s="10" t="s">
        <v>97</v>
      </c>
      <c r="D34" s="121">
        <f>F3B!D36</f>
        <v>910.1462373682624</v>
      </c>
      <c r="E34" s="202">
        <f>F3B!E36</f>
        <v>3.5473603910943292E-2</v>
      </c>
      <c r="F34" s="121">
        <f>E34*$F$52+'True Up FY23 FY24'!N31</f>
        <v>468.46225374232972</v>
      </c>
      <c r="G34" s="121">
        <f>F3B!F36</f>
        <v>972.57001312277851</v>
      </c>
      <c r="H34" s="202">
        <f>F3B!G36</f>
        <v>3.590947599134757E-2</v>
      </c>
      <c r="I34" s="121">
        <f t="shared" ref="I34:I46" si="7">H34*$I$52</f>
        <v>429.30710041137991</v>
      </c>
      <c r="J34" s="121">
        <f>F3B!H36</f>
        <v>1039.275219288651</v>
      </c>
      <c r="K34" s="202">
        <f>F3B!I36</f>
        <v>3.637820259139446E-2</v>
      </c>
      <c r="L34" s="121">
        <f t="shared" ref="L34:L47" si="8">K34*$L$52</f>
        <v>507.80466409117594</v>
      </c>
      <c r="M34" s="121">
        <f>F3B!J36</f>
        <v>1110.5555043378881</v>
      </c>
      <c r="N34" s="202">
        <f>F3B!K36</f>
        <v>3.6885834575519146E-2</v>
      </c>
      <c r="O34" s="121">
        <f t="shared" ref="O34:O47" si="9">N34*$O$52</f>
        <v>576.30566963470233</v>
      </c>
      <c r="P34" s="121">
        <f>F3B!L36</f>
        <v>1186.7246570733751</v>
      </c>
      <c r="Q34" s="202">
        <f>F3B!M36</f>
        <v>3.7439637632172493E-2</v>
      </c>
      <c r="R34" s="121">
        <f t="shared" ref="R34:R47" si="10">Q34*$R$52</f>
        <v>633.88841246189963</v>
      </c>
      <c r="S34" s="11"/>
      <c r="T34" s="1"/>
    </row>
    <row r="35" spans="2:20" s="8" customFormat="1">
      <c r="B35" s="68">
        <v>3</v>
      </c>
      <c r="C35" s="10" t="s">
        <v>98</v>
      </c>
      <c r="D35" s="121">
        <f>F3B!D37</f>
        <v>1655.0274949930335</v>
      </c>
      <c r="E35" s="202">
        <f>F3B!E37</f>
        <v>6.4505886426412223E-2</v>
      </c>
      <c r="F35" s="121">
        <f>E35*$F$52+'True Up FY23 FY24'!N32</f>
        <v>873.40314598520183</v>
      </c>
      <c r="G35" s="121">
        <f>F3B!F37</f>
        <v>1778.4325159970329</v>
      </c>
      <c r="H35" s="202">
        <f>F3B!G37</f>
        <v>6.5663735128306089E-2</v>
      </c>
      <c r="I35" s="121">
        <f t="shared" si="7"/>
        <v>785.02698666241599</v>
      </c>
      <c r="J35" s="121">
        <f>F3B!H37</f>
        <v>1911.0390754981686</v>
      </c>
      <c r="K35" s="202">
        <f>F3B!I37</f>
        <v>6.6892932072533939E-2</v>
      </c>
      <c r="L35" s="121">
        <f t="shared" si="8"/>
        <v>933.76089200191723</v>
      </c>
      <c r="M35" s="121">
        <f>F3B!J37</f>
        <v>2053.5332745158757</v>
      </c>
      <c r="N35" s="202">
        <f>F3B!K37</f>
        <v>6.8205765820121333E-2</v>
      </c>
      <c r="O35" s="121">
        <f t="shared" si="9"/>
        <v>1065.6494558483089</v>
      </c>
      <c r="P35" s="121">
        <f>F3B!L37</f>
        <v>2206.6523723198129</v>
      </c>
      <c r="Q35" s="202">
        <f>F3B!M37</f>
        <v>6.9617046133995872E-2</v>
      </c>
      <c r="R35" s="121">
        <f t="shared" si="10"/>
        <v>1178.682317593916</v>
      </c>
      <c r="S35" s="11"/>
      <c r="T35" s="1"/>
    </row>
    <row r="36" spans="2:20" s="8" customFormat="1">
      <c r="B36" s="68">
        <v>4</v>
      </c>
      <c r="C36" s="10" t="s">
        <v>99</v>
      </c>
      <c r="D36" s="121">
        <f>F3B!D38</f>
        <v>811.84709635118861</v>
      </c>
      <c r="E36" s="202">
        <f>F3B!E38</f>
        <v>3.1642324221968741E-2</v>
      </c>
      <c r="F36" s="121">
        <f>E36*$F$52+'True Up FY23 FY24'!N33</f>
        <v>447.82061102472659</v>
      </c>
      <c r="G36" s="121">
        <f>F3B!F38</f>
        <v>823.52164456685011</v>
      </c>
      <c r="H36" s="202">
        <f>F3B!G38</f>
        <v>3.0406274432599776E-2</v>
      </c>
      <c r="I36" s="121">
        <f t="shared" si="7"/>
        <v>363.51489824349909</v>
      </c>
      <c r="J36" s="121">
        <f>F3B!H38</f>
        <v>835.36407547452643</v>
      </c>
      <c r="K36" s="202">
        <f>F3B!I38</f>
        <v>2.9240612121960854E-2</v>
      </c>
      <c r="L36" s="121">
        <f t="shared" si="8"/>
        <v>408.17077696755774</v>
      </c>
      <c r="M36" s="121">
        <f>F3B!J38</f>
        <v>847.37680326599241</v>
      </c>
      <c r="N36" s="202">
        <f>F3B!K38</f>
        <v>2.8144654153991644E-2</v>
      </c>
      <c r="O36" s="121">
        <f t="shared" si="9"/>
        <v>439.73313727374097</v>
      </c>
      <c r="P36" s="121">
        <f>F3B!L38</f>
        <v>859.56227684965677</v>
      </c>
      <c r="Q36" s="202">
        <f>F3B!M38</f>
        <v>2.7118085038277326E-2</v>
      </c>
      <c r="R36" s="121">
        <f t="shared" si="10"/>
        <v>459.13478230753213</v>
      </c>
      <c r="S36" s="11"/>
      <c r="T36" s="1"/>
    </row>
    <row r="37" spans="2:20" s="8" customFormat="1">
      <c r="B37" s="68">
        <v>5</v>
      </c>
      <c r="C37" s="10" t="s">
        <v>100</v>
      </c>
      <c r="D37" s="121">
        <f>F3B!D39</f>
        <v>506.54351686222435</v>
      </c>
      <c r="E37" s="202">
        <f>F3B!E39</f>
        <v>1.9742897726836621E-2</v>
      </c>
      <c r="F37" s="121">
        <f>E37*$F$52+'True Up FY23 FY24'!N34</f>
        <v>271.50208665188592</v>
      </c>
      <c r="G37" s="121">
        <f>F3B!F39</f>
        <v>534.41338571650533</v>
      </c>
      <c r="H37" s="202">
        <f>F3B!G39</f>
        <v>1.9731746182697678E-2</v>
      </c>
      <c r="I37" s="121">
        <f t="shared" si="7"/>
        <v>235.89814403831306</v>
      </c>
      <c r="J37" s="121">
        <f>F3B!H39</f>
        <v>563.81664620269635</v>
      </c>
      <c r="K37" s="202">
        <f>F3B!I39</f>
        <v>1.9735519330482162E-2</v>
      </c>
      <c r="L37" s="121">
        <f t="shared" si="8"/>
        <v>275.48883810579292</v>
      </c>
      <c r="M37" s="121">
        <f>F3B!J39</f>
        <v>594.83766505783183</v>
      </c>
      <c r="N37" s="202">
        <f>F3B!K39</f>
        <v>1.9756854679399836E-2</v>
      </c>
      <c r="O37" s="121">
        <f t="shared" si="9"/>
        <v>308.68184214662773</v>
      </c>
      <c r="P37" s="121">
        <f>F3B!L39</f>
        <v>627.56545085092807</v>
      </c>
      <c r="Q37" s="202">
        <f>F3B!M39</f>
        <v>1.9798883363790223E-2</v>
      </c>
      <c r="R37" s="121">
        <f t="shared" si="10"/>
        <v>335.21378778534535</v>
      </c>
      <c r="S37" s="11"/>
      <c r="T37" s="1"/>
    </row>
    <row r="38" spans="2:20" s="8" customFormat="1">
      <c r="B38" s="68">
        <v>6</v>
      </c>
      <c r="C38" s="10" t="s">
        <v>101</v>
      </c>
      <c r="D38" s="121">
        <f>F3B!D40</f>
        <v>9.4507539347799021</v>
      </c>
      <c r="E38" s="202">
        <f>F3B!E40</f>
        <v>3.6834992881096935E-4</v>
      </c>
      <c r="F38" s="121">
        <f>E38*$F$52+'True Up FY23 FY24'!N35</f>
        <v>7.1287634969277001</v>
      </c>
      <c r="G38" s="121">
        <f>F3B!F40</f>
        <v>9.647068090235507</v>
      </c>
      <c r="H38" s="202">
        <f>F3B!G40</f>
        <v>3.5619148780960256E-4</v>
      </c>
      <c r="I38" s="121">
        <f t="shared" si="7"/>
        <v>4.2583616330018579</v>
      </c>
      <c r="J38" s="121">
        <f>F3B!H40</f>
        <v>9.8474601476128232</v>
      </c>
      <c r="K38" s="202">
        <f>F3B!I40</f>
        <v>3.4469493124808737E-4</v>
      </c>
      <c r="L38" s="121">
        <f t="shared" si="8"/>
        <v>4.8116091864795019</v>
      </c>
      <c r="M38" s="121">
        <f>F3B!J40</f>
        <v>10.052014814425908</v>
      </c>
      <c r="N38" s="202">
        <f>F3B!K40</f>
        <v>3.3386620853015234E-4</v>
      </c>
      <c r="O38" s="121">
        <f t="shared" si="9"/>
        <v>5.2163382254896575</v>
      </c>
      <c r="P38" s="121">
        <f>F3B!L40</f>
        <v>10.260818557761038</v>
      </c>
      <c r="Q38" s="202">
        <f>F3B!M40</f>
        <v>3.2371563725610815E-4</v>
      </c>
      <c r="R38" s="121">
        <f t="shared" si="10"/>
        <v>5.4808113637573026</v>
      </c>
      <c r="S38" s="11"/>
      <c r="T38" s="1"/>
    </row>
    <row r="39" spans="2:20" s="8" customFormat="1">
      <c r="B39" s="68">
        <v>7</v>
      </c>
      <c r="C39" s="10" t="s">
        <v>102</v>
      </c>
      <c r="D39" s="121">
        <f>F3B!D41</f>
        <v>4.7613692735785582</v>
      </c>
      <c r="E39" s="202">
        <f>F3B!E41</f>
        <v>1.8557779041426751E-4</v>
      </c>
      <c r="F39" s="121">
        <f>E39*$F$52+'True Up FY23 FY24'!N36</f>
        <v>3.6893157464500108</v>
      </c>
      <c r="G39" s="121">
        <f>F3B!F41</f>
        <v>4.9000987520471337</v>
      </c>
      <c r="H39" s="202">
        <f>F3B!G41</f>
        <v>1.8092268537756706E-4</v>
      </c>
      <c r="I39" s="121">
        <f t="shared" si="7"/>
        <v>2.1629776351177803</v>
      </c>
      <c r="J39" s="121">
        <f>F3B!H41</f>
        <v>5.0428703173798723</v>
      </c>
      <c r="K39" s="202">
        <f>F3B!I41</f>
        <v>1.7651778339652937E-4</v>
      </c>
      <c r="L39" s="121">
        <f t="shared" si="8"/>
        <v>2.4640182119662439</v>
      </c>
      <c r="M39" s="121">
        <f>F3B!J41</f>
        <v>5.189801741707095</v>
      </c>
      <c r="N39" s="202">
        <f>F3B!K41</f>
        <v>1.7237334629076418E-4</v>
      </c>
      <c r="O39" s="121">
        <f t="shared" si="9"/>
        <v>2.6931676591968539</v>
      </c>
      <c r="P39" s="121">
        <f>F3B!L41</f>
        <v>5.3410142286229032</v>
      </c>
      <c r="Q39" s="202">
        <f>F3B!M41</f>
        <v>1.6850213410165535E-4</v>
      </c>
      <c r="R39" s="121">
        <f t="shared" si="10"/>
        <v>2.8529002158491918</v>
      </c>
      <c r="S39" s="11"/>
      <c r="T39" s="1"/>
    </row>
    <row r="40" spans="2:20" s="8" customFormat="1">
      <c r="B40" s="68">
        <v>8</v>
      </c>
      <c r="C40" s="10" t="s">
        <v>103</v>
      </c>
      <c r="D40" s="121">
        <f>F3B!D42</f>
        <v>5.2546953107476844</v>
      </c>
      <c r="E40" s="202">
        <f>F3B!E42</f>
        <v>2.0480552736794127E-4</v>
      </c>
      <c r="F40" s="121">
        <f>E40*$F$52+'True Up FY23 FY24'!N37</f>
        <v>3.383923878532995</v>
      </c>
      <c r="G40" s="121">
        <f>F3B!F42</f>
        <v>5.3597556735183662</v>
      </c>
      <c r="H40" s="202">
        <f>F3B!G42</f>
        <v>1.9789425448119336E-4</v>
      </c>
      <c r="I40" s="121">
        <f t="shared" si="7"/>
        <v>2.3658771461845736</v>
      </c>
      <c r="J40" s="121">
        <f>F3B!H42</f>
        <v>5.4669165728897013</v>
      </c>
      <c r="K40" s="202">
        <f>F3B!I42</f>
        <v>1.9136085894067386E-4</v>
      </c>
      <c r="L40" s="121">
        <f t="shared" si="8"/>
        <v>2.6712132478352579</v>
      </c>
      <c r="M40" s="121">
        <f>F3B!J42</f>
        <v>5.5762200061848892</v>
      </c>
      <c r="N40" s="202">
        <f>F3B!K42</f>
        <v>1.8520778826580528E-4</v>
      </c>
      <c r="O40" s="121">
        <f t="shared" si="9"/>
        <v>2.893693464344905</v>
      </c>
      <c r="P40" s="121">
        <f>F3B!L42</f>
        <v>5.6877088104055016</v>
      </c>
      <c r="Q40" s="202">
        <f>F3B!M42</f>
        <v>1.7943990254997328E-4</v>
      </c>
      <c r="R40" s="121">
        <f t="shared" si="10"/>
        <v>3.0380869621979913</v>
      </c>
      <c r="S40" s="11"/>
      <c r="T40" s="1"/>
    </row>
    <row r="41" spans="2:20" s="8" customFormat="1">
      <c r="B41" s="68">
        <v>9</v>
      </c>
      <c r="C41" s="10" t="s">
        <v>104</v>
      </c>
      <c r="D41" s="121">
        <f>F3B!D43</f>
        <v>7.7174328814862889</v>
      </c>
      <c r="E41" s="202">
        <f>F3B!E43</f>
        <v>3.0079249466408967E-4</v>
      </c>
      <c r="F41" s="121">
        <f>E41*$F$52+'True Up FY23 FY24'!N38</f>
        <v>2.6911636620320376</v>
      </c>
      <c r="G41" s="121">
        <f>F3B!F43</f>
        <v>9.1783141991477848</v>
      </c>
      <c r="H41" s="202">
        <f>F3B!G43</f>
        <v>3.3888403809313641E-4</v>
      </c>
      <c r="I41" s="121">
        <f t="shared" si="7"/>
        <v>4.0514465820809766</v>
      </c>
      <c r="J41" s="121">
        <f>F3B!H43</f>
        <v>10.915734912365561</v>
      </c>
      <c r="K41" s="202">
        <f>F3B!I43</f>
        <v>3.8208821754432857E-4</v>
      </c>
      <c r="L41" s="121">
        <f t="shared" si="8"/>
        <v>5.3335834412333583</v>
      </c>
      <c r="M41" s="121">
        <f>F3B!J43</f>
        <v>12.982042899348542</v>
      </c>
      <c r="N41" s="202">
        <f>F3B!K43</f>
        <v>4.3118374990465261E-4</v>
      </c>
      <c r="O41" s="121">
        <f t="shared" si="9"/>
        <v>6.736831159822156</v>
      </c>
      <c r="P41" s="121">
        <f>F3B!L43</f>
        <v>15.439495296794711</v>
      </c>
      <c r="Q41" s="202">
        <f>F3B!M43</f>
        <v>4.8709623221377524E-4</v>
      </c>
      <c r="R41" s="121">
        <f t="shared" si="10"/>
        <v>8.2469990865733234</v>
      </c>
      <c r="S41" s="11"/>
      <c r="T41" s="1"/>
    </row>
    <row r="42" spans="2:20" s="8" customFormat="1">
      <c r="B42" s="68">
        <v>10</v>
      </c>
      <c r="C42" s="10" t="s">
        <v>105</v>
      </c>
      <c r="D42" s="121">
        <f>F3B!D44</f>
        <v>13.595734156852755</v>
      </c>
      <c r="E42" s="202">
        <f>F3B!E44</f>
        <v>5.2990351281706569E-4</v>
      </c>
      <c r="F42" s="121">
        <f>E42*$F$52+'True Up FY23 FY24'!N39</f>
        <v>6.0880639618623871</v>
      </c>
      <c r="G42" s="121">
        <f>F3B!F44</f>
        <v>14.683392889400977</v>
      </c>
      <c r="H42" s="202">
        <f>F3B!G44</f>
        <v>5.4214394575098255E-4</v>
      </c>
      <c r="I42" s="121">
        <f t="shared" si="7"/>
        <v>6.4814715038453707</v>
      </c>
      <c r="J42" s="121">
        <f>F3B!H44</f>
        <v>15.858064320553057</v>
      </c>
      <c r="K42" s="202">
        <f>F3B!I44</f>
        <v>5.5508672376052958E-4</v>
      </c>
      <c r="L42" s="121">
        <f t="shared" si="8"/>
        <v>7.748475933975004</v>
      </c>
      <c r="M42" s="121">
        <f>F3B!J44</f>
        <v>17.126709466197301</v>
      </c>
      <c r="N42" s="202">
        <f>F3B!K44</f>
        <v>5.68844123256829E-4</v>
      </c>
      <c r="O42" s="121">
        <f t="shared" si="9"/>
        <v>8.8876420214948606</v>
      </c>
      <c r="P42" s="121">
        <f>F3B!L44</f>
        <v>18.496846223493087</v>
      </c>
      <c r="Q42" s="202">
        <f>F3B!M44</f>
        <v>5.835517243346376E-4</v>
      </c>
      <c r="R42" s="121">
        <f t="shared" si="10"/>
        <v>9.8800816333227708</v>
      </c>
      <c r="S42" s="11"/>
      <c r="T42" s="1"/>
    </row>
    <row r="43" spans="2:20" s="8" customFormat="1">
      <c r="B43" s="68">
        <v>11</v>
      </c>
      <c r="C43" s="10" t="s">
        <v>106</v>
      </c>
      <c r="D43" s="121">
        <f>F3B!D45</f>
        <v>8.1047084000753422</v>
      </c>
      <c r="E43" s="202">
        <f>F3B!E45</f>
        <v>3.1588683641575982E-4</v>
      </c>
      <c r="F43" s="121">
        <f>E43*$F$52+'True Up FY23 FY24'!N40</f>
        <v>3.108518060028552</v>
      </c>
      <c r="G43" s="121">
        <f>F3B!F45</f>
        <v>8.1047084000753422</v>
      </c>
      <c r="H43" s="202">
        <f>F3B!G45</f>
        <v>2.9924409326060285E-4</v>
      </c>
      <c r="I43" s="121">
        <f t="shared" si="7"/>
        <v>3.5775407589878609</v>
      </c>
      <c r="J43" s="121">
        <f>F3B!H45</f>
        <v>8.1047084000753422</v>
      </c>
      <c r="K43" s="202">
        <f>F3B!I45</f>
        <v>2.8369263372210658E-4</v>
      </c>
      <c r="L43" s="121">
        <f t="shared" si="8"/>
        <v>3.9600758781434116</v>
      </c>
      <c r="M43" s="121">
        <f>F3B!J45</f>
        <v>8.1047084000753422</v>
      </c>
      <c r="N43" s="202">
        <f>F3B!K45</f>
        <v>2.6918864672705625E-4</v>
      </c>
      <c r="O43" s="121">
        <f t="shared" si="9"/>
        <v>4.2058135621813308</v>
      </c>
      <c r="P43" s="121">
        <f>F3B!L45</f>
        <v>8.1047084000753422</v>
      </c>
      <c r="Q43" s="202">
        <f>F3B!M45</f>
        <v>2.5569313303185526E-4</v>
      </c>
      <c r="R43" s="121">
        <f t="shared" si="10"/>
        <v>4.3291261461273667</v>
      </c>
      <c r="S43" s="11"/>
      <c r="T43" s="1"/>
    </row>
    <row r="44" spans="2:20" s="8" customFormat="1">
      <c r="B44" s="68">
        <v>12</v>
      </c>
      <c r="C44" s="10" t="s">
        <v>107</v>
      </c>
      <c r="D44" s="121">
        <f>F3B!D46</f>
        <v>5.4362904073447176</v>
      </c>
      <c r="E44" s="202">
        <f>F3B!E46</f>
        <v>2.1188332680760006E-4</v>
      </c>
      <c r="F44" s="121">
        <f>E44*$F$52+'True Up FY23 FY24'!N41</f>
        <v>1.8260800502383194</v>
      </c>
      <c r="G44" s="121">
        <f>F3B!F46</f>
        <v>5.4362904073447176</v>
      </c>
      <c r="H44" s="202">
        <f>F3B!G46</f>
        <v>2.0072008927946879E-4</v>
      </c>
      <c r="I44" s="121">
        <f t="shared" si="7"/>
        <v>2.3996607342208209</v>
      </c>
      <c r="J44" s="121">
        <f>F3B!H46</f>
        <v>5.4362904073447176</v>
      </c>
      <c r="K44" s="202">
        <f>F3B!I46</f>
        <v>1.9028883794554655E-4</v>
      </c>
      <c r="L44" s="121">
        <f t="shared" si="8"/>
        <v>2.6562488674494582</v>
      </c>
      <c r="M44" s="121">
        <f>F3B!J46</f>
        <v>5.4362904073447176</v>
      </c>
      <c r="N44" s="202">
        <f>F3B!K46</f>
        <v>1.8056018621901289E-4</v>
      </c>
      <c r="O44" s="121">
        <f t="shared" si="9"/>
        <v>2.8210791547977392</v>
      </c>
      <c r="P44" s="121">
        <f>F3B!L46</f>
        <v>5.4362904073447176</v>
      </c>
      <c r="Q44" s="202">
        <f>F3B!M46</f>
        <v>1.7150797508175245E-4</v>
      </c>
      <c r="R44" s="121">
        <f t="shared" si="10"/>
        <v>2.9037919415038589</v>
      </c>
      <c r="S44" s="11"/>
      <c r="T44" s="1"/>
    </row>
    <row r="45" spans="2:20" s="8" customFormat="1">
      <c r="B45" s="68">
        <v>13</v>
      </c>
      <c r="C45" s="10" t="s">
        <v>108</v>
      </c>
      <c r="D45" s="121">
        <f>F3B!D47</f>
        <v>1.5247287308021791</v>
      </c>
      <c r="E45" s="202">
        <f>F3B!E47</f>
        <v>5.9427398419521128E-5</v>
      </c>
      <c r="F45" s="121">
        <f>E45*$F$52+'True Up FY23 FY24'!N42</f>
        <v>0.52568595410272168</v>
      </c>
      <c r="G45" s="121">
        <f>F3B!F47</f>
        <v>1.7054392350565275</v>
      </c>
      <c r="H45" s="202">
        <f>F3B!G47</f>
        <v>6.2968658749129394E-5</v>
      </c>
      <c r="I45" s="121">
        <f t="shared" si="7"/>
        <v>0.75280664944528886</v>
      </c>
      <c r="J45" s="121">
        <f>F3B!H47</f>
        <v>1.9075675073952223</v>
      </c>
      <c r="K45" s="202">
        <f>F3B!I47</f>
        <v>6.6771415264074634E-5</v>
      </c>
      <c r="L45" s="121">
        <f t="shared" si="8"/>
        <v>0.93206463441618082</v>
      </c>
      <c r="M45" s="121">
        <f>F3B!J47</f>
        <v>2.1336519768465463</v>
      </c>
      <c r="N45" s="202">
        <f>F3B!K47</f>
        <v>7.0866817148966258E-5</v>
      </c>
      <c r="O45" s="121">
        <f t="shared" si="9"/>
        <v>1.1072258221051841</v>
      </c>
      <c r="P45" s="121">
        <f>F3B!L47</f>
        <v>2.3865319264729772</v>
      </c>
      <c r="Q45" s="202">
        <f>F3B!M47</f>
        <v>7.52920148681416E-5</v>
      </c>
      <c r="R45" s="121">
        <f t="shared" si="10"/>
        <v>1.2747648960900106</v>
      </c>
      <c r="S45" s="11"/>
      <c r="T45" s="1"/>
    </row>
    <row r="46" spans="2:20" s="8" customFormat="1">
      <c r="B46" s="68">
        <v>14</v>
      </c>
      <c r="C46" s="10" t="s">
        <v>109</v>
      </c>
      <c r="D46" s="121">
        <f>F3B!D48</f>
        <v>0.60498985597579935</v>
      </c>
      <c r="E46" s="202">
        <f>F3B!E48</f>
        <v>2.3579914567443891E-5</v>
      </c>
      <c r="F46" s="121">
        <f>E46*$F$52+'True Up FY23 FY24'!N43</f>
        <v>0.19268877640348842</v>
      </c>
      <c r="G46" s="121">
        <f>F3B!F48</f>
        <v>0.63555822495693004</v>
      </c>
      <c r="H46" s="202">
        <f>F3B!G48</f>
        <v>2.3466241517065165E-5</v>
      </c>
      <c r="I46" s="121">
        <f t="shared" si="7"/>
        <v>0.28054500449050784</v>
      </c>
      <c r="J46" s="121">
        <f>F3B!H48</f>
        <v>0.66767112426850628</v>
      </c>
      <c r="K46" s="202">
        <f>F3B!I48</f>
        <v>2.3370782803508594E-5</v>
      </c>
      <c r="L46" s="121">
        <f t="shared" si="8"/>
        <v>0.32623361424379249</v>
      </c>
      <c r="M46" s="121">
        <f>F3B!J48</f>
        <v>0.70140659451332055</v>
      </c>
      <c r="N46" s="202">
        <f>F3B!K48</f>
        <v>2.3296420137795287E-5</v>
      </c>
      <c r="O46" s="121">
        <f t="shared" si="9"/>
        <v>0.36398414627479025</v>
      </c>
      <c r="P46" s="121">
        <f>F3B!L48</f>
        <v>0.73684661945770435</v>
      </c>
      <c r="Q46" s="202">
        <f>F3B!M48</f>
        <v>2.3246563774129144E-5</v>
      </c>
      <c r="R46" s="121">
        <f t="shared" si="10"/>
        <v>0.39358627214154385</v>
      </c>
      <c r="S46" s="11"/>
      <c r="T46" s="1"/>
    </row>
    <row r="47" spans="2:20">
      <c r="B47" s="68">
        <v>15</v>
      </c>
      <c r="C47" s="10" t="s">
        <v>110</v>
      </c>
      <c r="D47" s="121">
        <f>F3B!D49</f>
        <v>27.811180341327091</v>
      </c>
      <c r="E47" s="202">
        <f>F3B!E49</f>
        <v>1.083960747425326E-3</v>
      </c>
      <c r="F47" s="121">
        <f>E47*$F$52+'True Up FY23 FY24'!N44</f>
        <v>12.833426774992651</v>
      </c>
      <c r="G47" s="121">
        <f>F3B!F49</f>
        <v>29.017967451535803</v>
      </c>
      <c r="H47" s="202">
        <f>F3B!G49</f>
        <v>1.0714087330051004E-3</v>
      </c>
      <c r="I47" s="121">
        <f>H47*$I$52</f>
        <v>12.808969327001003</v>
      </c>
      <c r="J47" s="121">
        <f>F3B!H49</f>
        <v>30.277119657777558</v>
      </c>
      <c r="K47" s="202">
        <f>F3B!I49</f>
        <v>1.0598031901005141E-3</v>
      </c>
      <c r="L47" s="121">
        <f t="shared" si="8"/>
        <v>14.79383159736037</v>
      </c>
      <c r="M47" s="121">
        <f>F3B!J49</f>
        <v>31.590909194532948</v>
      </c>
      <c r="N47" s="202">
        <f>F3B!K49</f>
        <v>1.0492560219531881E-3</v>
      </c>
      <c r="O47" s="121">
        <f t="shared" si="9"/>
        <v>16.393615633447148</v>
      </c>
      <c r="P47" s="121">
        <f>F3B!L49</f>
        <v>32.961706893438418</v>
      </c>
      <c r="Q47" s="202">
        <f>F3B!M49</f>
        <v>1.0398994867702608E-3</v>
      </c>
      <c r="R47" s="121">
        <f t="shared" si="10"/>
        <v>17.606480096439299</v>
      </c>
      <c r="S47" s="11"/>
    </row>
    <row r="48" spans="2:20">
      <c r="B48" s="68">
        <v>16</v>
      </c>
      <c r="C48" s="65" t="s">
        <v>111</v>
      </c>
      <c r="D48" s="121">
        <f>F3B!D50</f>
        <v>15.168212673689592</v>
      </c>
      <c r="E48" s="202">
        <f>F3B!E50</f>
        <v>5.9119199347489135E-4</v>
      </c>
      <c r="F48" s="121">
        <f>$F$52*E48</f>
        <v>6.9993486168622363</v>
      </c>
      <c r="G48" s="121">
        <f>F3B!F50</f>
        <v>15.764169893435076</v>
      </c>
      <c r="H48" s="202">
        <f>F3B!G50</f>
        <v>5.820486676267366E-4</v>
      </c>
      <c r="I48" s="121">
        <f>$I$52*H48</f>
        <v>6.9585428051734759</v>
      </c>
      <c r="J48" s="121">
        <f>F3B!H50</f>
        <v>16.38354219941434</v>
      </c>
      <c r="K48" s="202">
        <f>F3B!I50</f>
        <v>5.7348025454017834E-4</v>
      </c>
      <c r="L48" s="121">
        <f>$L$52*K48</f>
        <v>8.0052319046842264</v>
      </c>
      <c r="M48" s="121">
        <f>F3B!J50</f>
        <v>17.0272495675001</v>
      </c>
      <c r="N48" s="202">
        <f>F3B!K50</f>
        <v>5.6554067614778046E-4</v>
      </c>
      <c r="O48" s="121">
        <f>$O$52*N48</f>
        <v>8.8360288393561923</v>
      </c>
      <c r="P48" s="121">
        <f>F3B!L50</f>
        <v>17.696248119304524</v>
      </c>
      <c r="Q48" s="202">
        <f>F3B!M50</f>
        <v>5.5829388315710253E-4</v>
      </c>
      <c r="R48" s="121">
        <f>$R$52*Q48</f>
        <v>9.4524425358630175</v>
      </c>
      <c r="S48" s="11"/>
    </row>
    <row r="49" spans="2:19">
      <c r="B49" s="68">
        <v>17</v>
      </c>
      <c r="C49" s="65" t="s">
        <v>112</v>
      </c>
      <c r="D49" s="121">
        <f>F3B!D51</f>
        <v>10.621618110528988</v>
      </c>
      <c r="E49" s="202">
        <f>F3B!E51</f>
        <v>4.1398520180197375E-4</v>
      </c>
      <c r="F49" s="121">
        <f t="shared" ref="F49:F51" si="11">$F$52*E49</f>
        <v>4.901329486217314</v>
      </c>
      <c r="G49" s="121">
        <f>F3B!F51</f>
        <v>11.03894018627553</v>
      </c>
      <c r="H49" s="202">
        <f>F3B!G51</f>
        <v>4.0758254134958677E-4</v>
      </c>
      <c r="I49" s="121">
        <f t="shared" ref="I49:I51" si="12">$I$52*H49</f>
        <v>4.8727550089356253</v>
      </c>
      <c r="J49" s="121">
        <f>F3B!H51</f>
        <v>11.472658795308536</v>
      </c>
      <c r="K49" s="202">
        <f>F3B!I51</f>
        <v>4.0158246648403943E-4</v>
      </c>
      <c r="L49" s="121">
        <f t="shared" ref="L49:L51" si="13">$L$52*K49</f>
        <v>5.6057043771061323</v>
      </c>
      <c r="M49" s="121">
        <f>F3B!J51</f>
        <v>11.923418155414312</v>
      </c>
      <c r="N49" s="202">
        <f>F3B!K51</f>
        <v>3.9602273631299977E-4</v>
      </c>
      <c r="O49" s="121">
        <f t="shared" ref="O49:O51" si="14">$O$52*N49</f>
        <v>6.1874741582478689</v>
      </c>
      <c r="P49" s="121">
        <f>F3B!L51</f>
        <v>12.391887795617155</v>
      </c>
      <c r="Q49" s="202">
        <f>F3B!M51</f>
        <v>3.9094813264485935E-4</v>
      </c>
      <c r="R49" s="121">
        <f t="shared" ref="R49:R51" si="15">$R$52*Q49</f>
        <v>6.6191209859424607</v>
      </c>
      <c r="S49" s="31"/>
    </row>
    <row r="50" spans="2:19">
      <c r="B50" s="68">
        <v>18</v>
      </c>
      <c r="C50" s="65" t="s">
        <v>167</v>
      </c>
      <c r="D50" s="121">
        <f>F3B!D52</f>
        <v>20</v>
      </c>
      <c r="E50" s="202">
        <f>F3B!E52</f>
        <v>7.7951437811833745E-4</v>
      </c>
      <c r="F50" s="121">
        <f t="shared" si="11"/>
        <v>9.2289695133338085</v>
      </c>
      <c r="G50" s="121">
        <f>F3B!F52</f>
        <v>20</v>
      </c>
      <c r="H50" s="202">
        <f>F3B!G52</f>
        <v>7.3844505807962456E-4</v>
      </c>
      <c r="I50" s="121">
        <f t="shared" si="12"/>
        <v>8.8283022223343757</v>
      </c>
      <c r="J50" s="121">
        <f>F3B!H52</f>
        <v>20</v>
      </c>
      <c r="K50" s="202">
        <f>F3B!I52</f>
        <v>7.0006870011379884E-4</v>
      </c>
      <c r="L50" s="121">
        <f t="shared" si="13"/>
        <v>9.7722846588943231</v>
      </c>
      <c r="M50" s="121">
        <f>F3B!J52</f>
        <v>20</v>
      </c>
      <c r="N50" s="202">
        <f>F3B!K52</f>
        <v>6.6427719157558787E-4</v>
      </c>
      <c r="O50" s="121">
        <f t="shared" si="14"/>
        <v>10.378691877778682</v>
      </c>
      <c r="P50" s="121">
        <f>F3B!L52</f>
        <v>20</v>
      </c>
      <c r="Q50" s="202">
        <f>F3B!M52</f>
        <v>6.3097429397824677E-4</v>
      </c>
      <c r="R50" s="121">
        <f t="shared" si="15"/>
        <v>10.682990509781012</v>
      </c>
      <c r="S50" s="31"/>
    </row>
    <row r="51" spans="2:19">
      <c r="B51" s="68">
        <v>19</v>
      </c>
      <c r="C51" s="65" t="s">
        <v>168</v>
      </c>
      <c r="D51" s="121">
        <f>F3B!D53</f>
        <v>20</v>
      </c>
      <c r="E51" s="202">
        <f>F3B!E53</f>
        <v>7.7951437811833745E-4</v>
      </c>
      <c r="F51" s="121">
        <f t="shared" si="11"/>
        <v>9.2289695133338085</v>
      </c>
      <c r="G51" s="121">
        <f>F3B!F53</f>
        <v>20</v>
      </c>
      <c r="H51" s="202">
        <f>F3B!G53</f>
        <v>7.3844505807962456E-4</v>
      </c>
      <c r="I51" s="121">
        <f t="shared" si="12"/>
        <v>8.8283022223343757</v>
      </c>
      <c r="J51" s="121">
        <f>F3B!H53</f>
        <v>20</v>
      </c>
      <c r="K51" s="202">
        <f>F3B!I53</f>
        <v>7.0006870011379884E-4</v>
      </c>
      <c r="L51" s="121">
        <f t="shared" si="13"/>
        <v>9.7722846588943231</v>
      </c>
      <c r="M51" s="121">
        <f>F3B!J53</f>
        <v>20</v>
      </c>
      <c r="N51" s="202">
        <f>F3B!K53</f>
        <v>6.6427719157558787E-4</v>
      </c>
      <c r="O51" s="121">
        <f t="shared" si="14"/>
        <v>10.378691877778682</v>
      </c>
      <c r="P51" s="121">
        <f>F3B!L53</f>
        <v>20</v>
      </c>
      <c r="Q51" s="202">
        <f>F3B!M53</f>
        <v>6.3097429397824677E-4</v>
      </c>
      <c r="R51" s="121">
        <f t="shared" si="15"/>
        <v>10.682990509781012</v>
      </c>
      <c r="S51" s="31"/>
    </row>
    <row r="52" spans="2:19">
      <c r="B52" s="56"/>
      <c r="C52" s="55" t="s">
        <v>191</v>
      </c>
      <c r="D52" s="126">
        <f>SUM(D33:D51)</f>
        <v>25656.999487652574</v>
      </c>
      <c r="E52" s="201">
        <f>F3B!E54</f>
        <v>1</v>
      </c>
      <c r="F52" s="126">
        <f>'F1 '!E19</f>
        <v>11839.383303758337</v>
      </c>
      <c r="G52" s="126">
        <f>SUM(G33:G51)</f>
        <v>27083.937770551718</v>
      </c>
      <c r="H52" s="201">
        <f>F3B!G54</f>
        <v>1.0000000000000002</v>
      </c>
      <c r="I52" s="126">
        <f>'F1 '!F19</f>
        <v>11955.259400466382</v>
      </c>
      <c r="J52" s="126">
        <f>F3B!H54</f>
        <v>28568.624760325554</v>
      </c>
      <c r="K52" s="201">
        <f>F3B!I54</f>
        <v>1</v>
      </c>
      <c r="L52" s="126">
        <f>'F1 '!G19</f>
        <v>13959.036673551898</v>
      </c>
      <c r="M52" s="126">
        <f>F3B!J54</f>
        <v>30107.913162820383</v>
      </c>
      <c r="N52" s="201">
        <f>F3B!K54</f>
        <v>1</v>
      </c>
      <c r="O52" s="126">
        <f>'F1 '!H19</f>
        <v>15624.037689991488</v>
      </c>
      <c r="P52" s="126">
        <f>F3B!L54</f>
        <v>31697.012367812105</v>
      </c>
      <c r="Q52" s="201">
        <f>F3B!M54</f>
        <v>1</v>
      </c>
      <c r="R52" s="126">
        <f>'F1 '!I19</f>
        <v>16930.944115687405</v>
      </c>
      <c r="S52" s="31"/>
    </row>
    <row r="53" spans="2:19">
      <c r="C53" s="9" t="s">
        <v>194</v>
      </c>
      <c r="F53" s="205">
        <f>SUM(F33:F51)</f>
        <v>11839.383303758324</v>
      </c>
      <c r="I53" s="205">
        <f>SUM(I33:I51)</f>
        <v>11955.259400466386</v>
      </c>
      <c r="J53" s="93"/>
      <c r="K53" s="93"/>
      <c r="L53" s="205">
        <f>SUM(L33:L51)</f>
        <v>13959.036673551904</v>
      </c>
      <c r="M53" s="93"/>
      <c r="N53" s="93"/>
      <c r="O53" s="205">
        <f>SUM(O33:O51)</f>
        <v>15624.037689991486</v>
      </c>
      <c r="P53" s="93"/>
      <c r="Q53" s="93"/>
      <c r="R53" s="205">
        <f>SUM(R33:R51)</f>
        <v>16930.944115687398</v>
      </c>
    </row>
    <row r="54" spans="2:19">
      <c r="G54" s="1" t="b">
        <f>G52=F3B!F54</f>
        <v>1</v>
      </c>
      <c r="J54" s="1" t="b">
        <f>J52=F3B!H54</f>
        <v>1</v>
      </c>
    </row>
    <row r="55" spans="2:19">
      <c r="D55" s="1" t="b">
        <f>D52=F3B!D54</f>
        <v>1</v>
      </c>
    </row>
    <row r="56" spans="2:19" ht="15.6">
      <c r="B56" s="422" t="s">
        <v>195</v>
      </c>
      <c r="C56" s="422"/>
      <c r="D56" s="422"/>
      <c r="E56" s="422"/>
      <c r="F56" s="422"/>
      <c r="G56" s="422"/>
      <c r="H56" s="422"/>
      <c r="I56" s="422"/>
      <c r="J56" s="422"/>
      <c r="K56" s="422"/>
      <c r="L56" s="422"/>
      <c r="M56" s="422"/>
      <c r="N56" s="422"/>
      <c r="O56" s="422"/>
      <c r="P56" s="422"/>
      <c r="Q56" s="422"/>
      <c r="R56" s="422"/>
      <c r="S56" s="422"/>
    </row>
    <row r="57" spans="2:19">
      <c r="B57" s="403" t="s">
        <v>2</v>
      </c>
      <c r="C57" s="406" t="s">
        <v>193</v>
      </c>
      <c r="D57" s="425" t="s">
        <v>24</v>
      </c>
      <c r="E57" s="426"/>
      <c r="F57" s="426"/>
      <c r="G57" s="426"/>
      <c r="H57" s="426"/>
      <c r="I57" s="427"/>
      <c r="J57" s="425" t="s">
        <v>24</v>
      </c>
      <c r="K57" s="426"/>
      <c r="L57" s="426"/>
      <c r="M57" s="426"/>
      <c r="N57" s="426"/>
      <c r="O57" s="426"/>
      <c r="P57" s="426"/>
      <c r="Q57" s="426"/>
      <c r="R57" s="427"/>
      <c r="S57" s="428" t="s">
        <v>25</v>
      </c>
    </row>
    <row r="58" spans="2:19">
      <c r="B58" s="404"/>
      <c r="C58" s="406"/>
      <c r="D58" s="430" t="s">
        <v>26</v>
      </c>
      <c r="E58" s="431"/>
      <c r="F58" s="432"/>
      <c r="G58" s="430" t="s">
        <v>27</v>
      </c>
      <c r="H58" s="431"/>
      <c r="I58" s="432"/>
      <c r="J58" s="430" t="s">
        <v>28</v>
      </c>
      <c r="K58" s="431"/>
      <c r="L58" s="432"/>
      <c r="M58" s="430" t="s">
        <v>29</v>
      </c>
      <c r="N58" s="431"/>
      <c r="O58" s="432"/>
      <c r="P58" s="430" t="s">
        <v>30</v>
      </c>
      <c r="Q58" s="431"/>
      <c r="R58" s="432"/>
      <c r="S58" s="428"/>
    </row>
    <row r="59" spans="2:19" ht="41.45">
      <c r="B59" s="423"/>
      <c r="C59" s="424"/>
      <c r="D59" s="45" t="s">
        <v>188</v>
      </c>
      <c r="E59" s="45" t="s">
        <v>189</v>
      </c>
      <c r="F59" s="45" t="s">
        <v>190</v>
      </c>
      <c r="G59" s="45" t="s">
        <v>188</v>
      </c>
      <c r="H59" s="45" t="s">
        <v>189</v>
      </c>
      <c r="I59" s="45" t="s">
        <v>190</v>
      </c>
      <c r="J59" s="45" t="s">
        <v>188</v>
      </c>
      <c r="K59" s="45" t="s">
        <v>189</v>
      </c>
      <c r="L59" s="45" t="s">
        <v>190</v>
      </c>
      <c r="M59" s="45" t="s">
        <v>188</v>
      </c>
      <c r="N59" s="45" t="s">
        <v>189</v>
      </c>
      <c r="O59" s="45" t="s">
        <v>190</v>
      </c>
      <c r="P59" s="45" t="s">
        <v>188</v>
      </c>
      <c r="Q59" s="45" t="s">
        <v>189</v>
      </c>
      <c r="R59" s="45" t="s">
        <v>190</v>
      </c>
      <c r="S59" s="429"/>
    </row>
    <row r="60" spans="2:19">
      <c r="B60" s="68">
        <v>1</v>
      </c>
      <c r="C60" s="10" t="s">
        <v>96</v>
      </c>
      <c r="D60" s="121">
        <f>'F3 A'!D33</f>
        <v>22653.880596806121</v>
      </c>
      <c r="E60" s="202">
        <f>'F3 A'!E33</f>
        <v>0.84885745892259168</v>
      </c>
      <c r="F60" s="121">
        <f>E60*$F$79+'True Up FY23 FY24'!N30</f>
        <v>9778.2404636944393</v>
      </c>
      <c r="G60" s="121">
        <f>'F3 A'!F33</f>
        <v>24068.305225108124</v>
      </c>
      <c r="H60" s="202">
        <f>'F3 A'!G33</f>
        <v>0.84948815036324055</v>
      </c>
      <c r="I60" s="121">
        <f t="shared" ref="I60:I78" si="16">H60*$I$79</f>
        <v>10155.851195214931</v>
      </c>
      <c r="J60" s="121">
        <f>'F3 A'!H33</f>
        <v>25571.041302770787</v>
      </c>
      <c r="K60" s="202">
        <f>'F3 A'!I33</f>
        <v>0.85004693576266244</v>
      </c>
      <c r="L60" s="121">
        <f t="shared" ref="L60:L78" si="17">K60*$L$79</f>
        <v>11865.836350551419</v>
      </c>
      <c r="M60" s="121">
        <f>'F3 A'!J33</f>
        <v>27167.602670498047</v>
      </c>
      <c r="N60" s="202">
        <f>'F3 A'!K33</f>
        <v>0.85053581536862</v>
      </c>
      <c r="O60" s="121">
        <f t="shared" ref="O60:O78" si="18">N60*$O$79</f>
        <v>13288.80363600696</v>
      </c>
      <c r="P60" s="121">
        <f>'F3 A'!L33</f>
        <v>28863.84743284103</v>
      </c>
      <c r="Q60" s="202">
        <f>'F3 A'!M33</f>
        <v>0.85095665273110599</v>
      </c>
      <c r="R60" s="121">
        <f t="shared" ref="R60:R78" si="19">Q60*$R$79</f>
        <v>14407.499532262769</v>
      </c>
      <c r="S60" s="11"/>
    </row>
    <row r="61" spans="2:19">
      <c r="B61" s="68">
        <v>2</v>
      </c>
      <c r="C61" s="10" t="s">
        <v>97</v>
      </c>
      <c r="D61" s="121">
        <f>'F3 A'!D34</f>
        <v>910.1462373682624</v>
      </c>
      <c r="E61" s="202">
        <f>'F3 A'!E34</f>
        <v>3.4103844548792436E-2</v>
      </c>
      <c r="F61" s="121">
        <f>E61*$F$79+'True Up FY23 FY24'!N31</f>
        <v>452.24514761991418</v>
      </c>
      <c r="G61" s="121">
        <f>'F3 A'!F34</f>
        <v>972.57001312277851</v>
      </c>
      <c r="H61" s="202">
        <f>'F3 A'!G34</f>
        <v>3.4326750214408175E-2</v>
      </c>
      <c r="I61" s="121">
        <f t="shared" si="16"/>
        <v>410.38520318826477</v>
      </c>
      <c r="J61" s="121">
        <f>'F3 A'!H34</f>
        <v>1039.275219288651</v>
      </c>
      <c r="K61" s="202">
        <f>'F3 A'!I34</f>
        <v>3.4548171312627038E-2</v>
      </c>
      <c r="L61" s="121">
        <f t="shared" si="17"/>
        <v>482.25919035711445</v>
      </c>
      <c r="M61" s="121">
        <f>'F3 A'!J34</f>
        <v>1110.5555043378881</v>
      </c>
      <c r="N61" s="202">
        <f>'F3 A'!K34</f>
        <v>3.4768148034639172E-2</v>
      </c>
      <c r="O61" s="121">
        <f t="shared" si="18"/>
        <v>543.21885530440591</v>
      </c>
      <c r="P61" s="121">
        <f>'F3 A'!L34</f>
        <v>1186.7246570733751</v>
      </c>
      <c r="Q61" s="202">
        <f>'F3 A'!M34</f>
        <v>3.4986716315151697E-2</v>
      </c>
      <c r="R61" s="121">
        <f t="shared" si="19"/>
        <v>592.35813872324218</v>
      </c>
      <c r="S61" s="11"/>
    </row>
    <row r="62" spans="2:19">
      <c r="B62" s="68">
        <v>3</v>
      </c>
      <c r="C62" s="10" t="s">
        <v>98</v>
      </c>
      <c r="D62" s="121">
        <f>'F3 A'!D35</f>
        <v>1655.0274949930335</v>
      </c>
      <c r="E62" s="202">
        <f>'F3 A'!E35</f>
        <v>6.2015089549155543E-2</v>
      </c>
      <c r="F62" s="121">
        <f>E62*$F$79+'True Up FY23 FY24'!N32</f>
        <v>843.91364702355565</v>
      </c>
      <c r="G62" s="121">
        <f>'F3 A'!F35</f>
        <v>1778.4325159970329</v>
      </c>
      <c r="H62" s="202">
        <f>'F3 A'!G35</f>
        <v>6.2769577435146426E-2</v>
      </c>
      <c r="I62" s="121">
        <f t="shared" si="16"/>
        <v>750.42658069483684</v>
      </c>
      <c r="J62" s="121">
        <f>'F3 A'!H35</f>
        <v>1911.0390754981686</v>
      </c>
      <c r="K62" s="202">
        <f>'F3 A'!I35</f>
        <v>6.3527835687860995E-2</v>
      </c>
      <c r="L62" s="121">
        <f t="shared" si="17"/>
        <v>886.78738815823067</v>
      </c>
      <c r="M62" s="121">
        <f>'F3 A'!J35</f>
        <v>2053.5332745158757</v>
      </c>
      <c r="N62" s="202">
        <f>'F3 A'!K35</f>
        <v>6.4289941928649869E-2</v>
      </c>
      <c r="O62" s="121">
        <f t="shared" si="18"/>
        <v>1004.4684757805896</v>
      </c>
      <c r="P62" s="121">
        <f>'F3 A'!L35</f>
        <v>2206.6523723198129</v>
      </c>
      <c r="Q62" s="202">
        <f>'F3 A'!M35</f>
        <v>6.505596736053687E-2</v>
      </c>
      <c r="R62" s="121">
        <f t="shared" si="19"/>
        <v>1101.4589477732336</v>
      </c>
      <c r="S62" s="11"/>
    </row>
    <row r="63" spans="2:19">
      <c r="B63" s="68">
        <v>4</v>
      </c>
      <c r="C63" s="10" t="s">
        <v>99</v>
      </c>
      <c r="D63" s="121">
        <f>'F3 A'!D36</f>
        <v>811.84709635118861</v>
      </c>
      <c r="E63" s="202">
        <f>'F3 A'!E36</f>
        <v>3.0420503908699593E-2</v>
      </c>
      <c r="F63" s="121">
        <f>E63*$F$79+'True Up FY23 FY24'!N33</f>
        <v>433.35501200761502</v>
      </c>
      <c r="G63" s="121">
        <f>'F3 A'!F36</f>
        <v>823.52164456685011</v>
      </c>
      <c r="H63" s="202">
        <f>'F3 A'!G36</f>
        <v>2.9066104658561177E-2</v>
      </c>
      <c r="I63" s="121">
        <f t="shared" si="16"/>
        <v>347.49282095420324</v>
      </c>
      <c r="J63" s="121">
        <f>'F3 A'!H36</f>
        <v>835.36407547452643</v>
      </c>
      <c r="K63" s="202">
        <f>'F3 A'!I36</f>
        <v>2.7769642393342304E-2</v>
      </c>
      <c r="L63" s="121">
        <f t="shared" si="17"/>
        <v>387.63745658008673</v>
      </c>
      <c r="M63" s="121">
        <f>'F3 A'!J36</f>
        <v>847.37680326599241</v>
      </c>
      <c r="N63" s="202">
        <f>'F3 A'!K36</f>
        <v>2.6528815554010859E-2</v>
      </c>
      <c r="O63" s="121">
        <f t="shared" si="18"/>
        <v>414.48721408669809</v>
      </c>
      <c r="P63" s="121">
        <f>'F3 A'!L36</f>
        <v>859.56227684965677</v>
      </c>
      <c r="Q63" s="202">
        <f>'F3 A'!M36</f>
        <v>2.5341397733750302E-2</v>
      </c>
      <c r="R63" s="121">
        <f t="shared" si="19"/>
        <v>429.05378884353382</v>
      </c>
      <c r="S63" s="11"/>
    </row>
    <row r="64" spans="2:19">
      <c r="B64" s="68">
        <v>5</v>
      </c>
      <c r="C64" s="10" t="s">
        <v>100</v>
      </c>
      <c r="D64" s="121">
        <f>'F3 A'!D37</f>
        <v>506.54351686222435</v>
      </c>
      <c r="E64" s="202">
        <f>'F3 A'!E37</f>
        <v>1.8980555703026102E-2</v>
      </c>
      <c r="F64" s="121">
        <f>E64*$F$79+'True Up FY23 FY24'!N34</f>
        <v>262.47642722343033</v>
      </c>
      <c r="G64" s="121">
        <f>'F3 A'!F37</f>
        <v>534.41338571650533</v>
      </c>
      <c r="H64" s="202">
        <f>'F3 A'!G37</f>
        <v>1.8862060885287437E-2</v>
      </c>
      <c r="I64" s="121">
        <f t="shared" si="16"/>
        <v>225.5008307110019</v>
      </c>
      <c r="J64" s="121">
        <f>'F3 A'!H37</f>
        <v>563.81664620269635</v>
      </c>
      <c r="K64" s="202">
        <f>'F3 A'!I37</f>
        <v>1.8742710035224538E-2</v>
      </c>
      <c r="L64" s="121">
        <f t="shared" si="17"/>
        <v>261.63017674344849</v>
      </c>
      <c r="M64" s="121">
        <f>'F3 A'!J37</f>
        <v>594.83766505783183</v>
      </c>
      <c r="N64" s="202">
        <f>'F3 A'!K37</f>
        <v>1.8622575742074269E-2</v>
      </c>
      <c r="O64" s="121">
        <f t="shared" si="18"/>
        <v>290.95982527888958</v>
      </c>
      <c r="P64" s="121">
        <f>'F3 A'!L37</f>
        <v>627.56545085092807</v>
      </c>
      <c r="Q64" s="202">
        <f>'F3 A'!M37</f>
        <v>1.8501725962498588E-2</v>
      </c>
      <c r="R64" s="121">
        <f t="shared" si="19"/>
        <v>313.25168831482637</v>
      </c>
      <c r="S64" s="11"/>
    </row>
    <row r="65" spans="2:19">
      <c r="B65" s="68">
        <v>6</v>
      </c>
      <c r="C65" s="10" t="s">
        <v>101</v>
      </c>
      <c r="D65" s="121">
        <f>'F3 A'!D38</f>
        <v>9.4507539347799021</v>
      </c>
      <c r="E65" s="202">
        <f>'F3 A'!E38</f>
        <v>3.5412665550603239E-4</v>
      </c>
      <c r="F65" s="121">
        <f>E65*$F$79+'True Up FY23 FY24'!N35</f>
        <v>6.9603687124364386</v>
      </c>
      <c r="G65" s="121">
        <f>'F3 A'!F38</f>
        <v>9.647068090235507</v>
      </c>
      <c r="H65" s="202">
        <f>'F3 A'!G38</f>
        <v>3.4049219302127184E-4</v>
      </c>
      <c r="I65" s="121">
        <f t="shared" si="16"/>
        <v>4.0706724914029744</v>
      </c>
      <c r="J65" s="121">
        <f>'F3 A'!H38</f>
        <v>9.8474601476128232</v>
      </c>
      <c r="K65" s="202">
        <f>'F3 A'!I38</f>
        <v>3.2735480829308993E-4</v>
      </c>
      <c r="L65" s="121">
        <f t="shared" si="17"/>
        <v>4.5695577742267934</v>
      </c>
      <c r="M65" s="121">
        <f>'F3 A'!J38</f>
        <v>10.052014814425908</v>
      </c>
      <c r="N65" s="202">
        <f>'F3 A'!K38</f>
        <v>3.1469830886364519E-4</v>
      </c>
      <c r="O65" s="121">
        <f t="shared" si="18"/>
        <v>4.9168582386621749</v>
      </c>
      <c r="P65" s="121">
        <f>'F3 A'!L38</f>
        <v>10.260818557761038</v>
      </c>
      <c r="Q65" s="202">
        <f>'F3 A'!M38</f>
        <v>3.025068586060675E-4</v>
      </c>
      <c r="R65" s="121">
        <f t="shared" si="19"/>
        <v>5.1217267176714802</v>
      </c>
      <c r="S65" s="11"/>
    </row>
    <row r="66" spans="2:19">
      <c r="B66" s="68">
        <v>7</v>
      </c>
      <c r="C66" s="10" t="s">
        <v>102</v>
      </c>
      <c r="D66" s="121">
        <f>'F3 A'!D39</f>
        <v>4.7613692735785582</v>
      </c>
      <c r="E66" s="202">
        <f>'F3 A'!E39</f>
        <v>1.7841198576511557E-4</v>
      </c>
      <c r="F66" s="121">
        <f>E66*$F$79+'True Up FY23 FY24'!N36</f>
        <v>3.6044770385288478</v>
      </c>
      <c r="G66" s="121">
        <f>'F3 A'!F39</f>
        <v>4.9000987520471337</v>
      </c>
      <c r="H66" s="202">
        <f>'F3 A'!G39</f>
        <v>1.7294843930811265E-4</v>
      </c>
      <c r="I66" s="121">
        <f t="shared" si="16"/>
        <v>2.0676434548343035</v>
      </c>
      <c r="J66" s="121">
        <f>'F3 A'!H39</f>
        <v>5.0428703173798723</v>
      </c>
      <c r="K66" s="202">
        <f>'F3 A'!I39</f>
        <v>1.6763793112612729E-4</v>
      </c>
      <c r="L66" s="121">
        <f t="shared" si="17"/>
        <v>2.3400640284679781</v>
      </c>
      <c r="M66" s="121">
        <f>'F3 A'!J39</f>
        <v>5.189801741707095</v>
      </c>
      <c r="N66" s="202">
        <f>'F3 A'!K39</f>
        <v>1.6247706172387889E-4</v>
      </c>
      <c r="O66" s="121">
        <f t="shared" si="18"/>
        <v>2.5385477361329571</v>
      </c>
      <c r="P66" s="121">
        <f>'F3 A'!L39</f>
        <v>5.3410142286229032</v>
      </c>
      <c r="Q66" s="202">
        <f>'F3 A'!M39</f>
        <v>1.5746243118673525E-4</v>
      </c>
      <c r="R66" s="121">
        <f t="shared" si="19"/>
        <v>2.6659876227428883</v>
      </c>
      <c r="S66" s="11"/>
    </row>
    <row r="67" spans="2:19">
      <c r="B67" s="68">
        <v>8</v>
      </c>
      <c r="C67" s="10" t="s">
        <v>103</v>
      </c>
      <c r="D67" s="121">
        <f>'F3 A'!D40</f>
        <v>5.2546953107476844</v>
      </c>
      <c r="E67" s="202">
        <f>'F3 A'!E40</f>
        <v>1.9689727284616322E-4</v>
      </c>
      <c r="F67" s="121">
        <f>E67*$F$79+'True Up FY23 FY24'!N37</f>
        <v>3.2902950219859841</v>
      </c>
      <c r="G67" s="121">
        <f>'F3 A'!F40</f>
        <v>5.3597556735183662</v>
      </c>
      <c r="H67" s="202">
        <f>'F3 A'!G40</f>
        <v>1.8917197911991941E-4</v>
      </c>
      <c r="I67" s="121">
        <f t="shared" si="16"/>
        <v>2.2616000816782469</v>
      </c>
      <c r="J67" s="121">
        <f>'F3 A'!H40</f>
        <v>5.4669165728897013</v>
      </c>
      <c r="K67" s="202">
        <f>'F3 A'!I40</f>
        <v>1.8173431522913616E-4</v>
      </c>
      <c r="L67" s="121">
        <f t="shared" si="17"/>
        <v>2.5368359711263531</v>
      </c>
      <c r="M67" s="121">
        <f>'F3 A'!J40</f>
        <v>5.5762200061848892</v>
      </c>
      <c r="N67" s="202">
        <f>'F3 A'!K40</f>
        <v>1.7457465375793241E-4</v>
      </c>
      <c r="O67" s="121">
        <f t="shared" si="18"/>
        <v>2.7275609700311501</v>
      </c>
      <c r="P67" s="121">
        <f>'F3 A'!L40</f>
        <v>5.6877088104055016</v>
      </c>
      <c r="Q67" s="202">
        <f>'F3 A'!M40</f>
        <v>1.6768359319641442E-4</v>
      </c>
      <c r="R67" s="121">
        <f t="shared" si="19"/>
        <v>2.8390415455261535</v>
      </c>
      <c r="S67" s="11"/>
    </row>
    <row r="68" spans="2:19">
      <c r="B68" s="68">
        <v>9</v>
      </c>
      <c r="C68" s="10" t="s">
        <v>104</v>
      </c>
      <c r="D68" s="121">
        <f>'F3 A'!D41</f>
        <v>7.7174328814862889</v>
      </c>
      <c r="E68" s="202">
        <f>'F3 A'!E41</f>
        <v>2.8917784911904694E-4</v>
      </c>
      <c r="F68" s="121">
        <f>E68*$F$79+'True Up FY23 FY24'!N38</f>
        <v>2.5536534214869873</v>
      </c>
      <c r="G68" s="121">
        <f>'F3 A'!F41</f>
        <v>9.1783141991477848</v>
      </c>
      <c r="H68" s="202">
        <f>'F3 A'!G41</f>
        <v>3.2394757668076287E-4</v>
      </c>
      <c r="I68" s="121">
        <f t="shared" si="16"/>
        <v>3.8728773113709947</v>
      </c>
      <c r="J68" s="121">
        <f>'F3 A'!H41</f>
        <v>10.915734912365561</v>
      </c>
      <c r="K68" s="202">
        <f>'F3 A'!I41</f>
        <v>3.6286699880495025E-4</v>
      </c>
      <c r="L68" s="121">
        <f t="shared" si="17"/>
        <v>5.0652737439400131</v>
      </c>
      <c r="M68" s="121">
        <f>'F3 A'!J41</f>
        <v>12.982042899348542</v>
      </c>
      <c r="N68" s="202">
        <f>'F3 A'!K41</f>
        <v>4.0642866345134884E-4</v>
      </c>
      <c r="O68" s="121">
        <f t="shared" si="18"/>
        <v>6.3500567560567402</v>
      </c>
      <c r="P68" s="121">
        <f>'F3 A'!L41</f>
        <v>15.439495296794711</v>
      </c>
      <c r="Q68" s="202">
        <f>'F3 A'!M41</f>
        <v>4.5518329696648104E-4</v>
      </c>
      <c r="R68" s="121">
        <f t="shared" si="19"/>
        <v>7.7066829633338347</v>
      </c>
      <c r="S68" s="11"/>
    </row>
    <row r="69" spans="2:19">
      <c r="B69" s="68">
        <v>10</v>
      </c>
      <c r="C69" s="10" t="s">
        <v>105</v>
      </c>
      <c r="D69" s="121">
        <f>'F3 A'!D42</f>
        <v>13.595734156852755</v>
      </c>
      <c r="E69" s="202">
        <f>'F3 A'!E42</f>
        <v>5.0944209312201512E-4</v>
      </c>
      <c r="F69" s="121">
        <f>E69*$F$79+'True Up FY23 FY24'!N39</f>
        <v>5.8458133711536133</v>
      </c>
      <c r="G69" s="121">
        <f>'F3 A'!F42</f>
        <v>14.683392889400977</v>
      </c>
      <c r="H69" s="202">
        <f>'F3 A'!G42</f>
        <v>5.1824871547921625E-4</v>
      </c>
      <c r="I69" s="121">
        <f t="shared" si="16"/>
        <v>6.1957978275125276</v>
      </c>
      <c r="J69" s="121">
        <f>'F3 A'!H42</f>
        <v>15.858064320553057</v>
      </c>
      <c r="K69" s="202">
        <f>'F3 A'!I42</f>
        <v>5.2716269248498219E-4</v>
      </c>
      <c r="L69" s="121">
        <f t="shared" si="17"/>
        <v>7.3586833573262282</v>
      </c>
      <c r="M69" s="121">
        <f>'F3 A'!J42</f>
        <v>17.126709466197301</v>
      </c>
      <c r="N69" s="202">
        <f>'F3 A'!K42</f>
        <v>5.3618569062157664E-4</v>
      </c>
      <c r="O69" s="121">
        <f t="shared" si="18"/>
        <v>8.3773854391056286</v>
      </c>
      <c r="P69" s="121">
        <f>'F3 A'!L42</f>
        <v>18.496846223493087</v>
      </c>
      <c r="Q69" s="202">
        <f>'F3 A'!M42</f>
        <v>5.4531934403577898E-4</v>
      </c>
      <c r="R69" s="121">
        <f t="shared" si="19"/>
        <v>9.2327713390730874</v>
      </c>
      <c r="S69" s="11"/>
    </row>
    <row r="70" spans="2:19">
      <c r="B70" s="68">
        <v>11</v>
      </c>
      <c r="C70" s="10" t="s">
        <v>106</v>
      </c>
      <c r="D70" s="121">
        <f>'F3 A'!D43</f>
        <v>8.1047084000753422</v>
      </c>
      <c r="E70" s="202">
        <f>'F3 A'!E43</f>
        <v>3.0368934577886339E-4</v>
      </c>
      <c r="F70" s="121">
        <f>E70*$F$79+'True Up FY23 FY24'!N40</f>
        <v>2.9641072930343317</v>
      </c>
      <c r="G70" s="121">
        <f>'F3 A'!F43</f>
        <v>8.1047084000753422</v>
      </c>
      <c r="H70" s="202">
        <f>'F3 A'!G43</f>
        <v>2.8605477966230552E-4</v>
      </c>
      <c r="I70" s="121">
        <f t="shared" si="16"/>
        <v>3.4198590936061177</v>
      </c>
      <c r="J70" s="121">
        <f>'F3 A'!H43</f>
        <v>8.1047084000753422</v>
      </c>
      <c r="K70" s="202">
        <f>'F3 A'!I43</f>
        <v>2.6942127460360585E-4</v>
      </c>
      <c r="L70" s="121">
        <f t="shared" si="17"/>
        <v>3.7608614528268309</v>
      </c>
      <c r="M70" s="121">
        <f>'F3 A'!J43</f>
        <v>8.1047084000753422</v>
      </c>
      <c r="N70" s="202">
        <f>'F3 A'!K43</f>
        <v>2.5373400998935519E-4</v>
      </c>
      <c r="O70" s="121">
        <f t="shared" si="18"/>
        <v>3.9643497353063624</v>
      </c>
      <c r="P70" s="121">
        <f>'F3 A'!L43</f>
        <v>8.1047084000753422</v>
      </c>
      <c r="Q70" s="202">
        <f>'F3 A'!M43</f>
        <v>2.3894096403942057E-4</v>
      </c>
      <c r="R70" s="121">
        <f t="shared" si="19"/>
        <v>4.0454961090999033</v>
      </c>
      <c r="S70" s="11"/>
    </row>
    <row r="71" spans="2:19">
      <c r="B71" s="68">
        <v>12</v>
      </c>
      <c r="C71" s="10" t="s">
        <v>107</v>
      </c>
      <c r="D71" s="121">
        <f>'F3 A'!D44</f>
        <v>5.4362904073447176</v>
      </c>
      <c r="E71" s="202">
        <f>'F3 A'!E44</f>
        <v>2.0370177380534516E-4</v>
      </c>
      <c r="F71" s="121">
        <f>E71*$F$79+'True Up FY23 FY24'!N41</f>
        <v>1.729215508224609</v>
      </c>
      <c r="G71" s="121">
        <f>'F3 A'!F44</f>
        <v>5.4362904073447176</v>
      </c>
      <c r="H71" s="202">
        <f>'F3 A'!G44</f>
        <v>1.9187326402006545E-4</v>
      </c>
      <c r="I71" s="121">
        <f t="shared" si="16"/>
        <v>2.2938946433740557</v>
      </c>
      <c r="J71" s="121">
        <f>'F3 A'!H44</f>
        <v>5.4362904073447176</v>
      </c>
      <c r="K71" s="202">
        <f>'F3 A'!I44</f>
        <v>1.8071622301038664E-4</v>
      </c>
      <c r="L71" s="121">
        <f t="shared" si="17"/>
        <v>2.5226243845077705</v>
      </c>
      <c r="M71" s="121">
        <f>'F3 A'!J44</f>
        <v>5.4362904073447176</v>
      </c>
      <c r="N71" s="202">
        <f>'F3 A'!K44</f>
        <v>1.7019387946263652E-4</v>
      </c>
      <c r="O71" s="121">
        <f t="shared" si="18"/>
        <v>2.6591155873301013</v>
      </c>
      <c r="P71" s="121">
        <f>'F3 A'!L44</f>
        <v>5.4362904073447176</v>
      </c>
      <c r="Q71" s="202">
        <f>'F3 A'!M44</f>
        <v>1.6027133940033252E-4</v>
      </c>
      <c r="R71" s="121">
        <f t="shared" si="19"/>
        <v>2.7135450907333989</v>
      </c>
      <c r="S71" s="11"/>
    </row>
    <row r="72" spans="2:19">
      <c r="B72" s="68">
        <v>13</v>
      </c>
      <c r="C72" s="10" t="s">
        <v>108</v>
      </c>
      <c r="D72" s="121">
        <f>'F3 A'!D45</f>
        <v>1.5247287308021791</v>
      </c>
      <c r="E72" s="202">
        <f>'F3 A'!E45</f>
        <v>5.7132699646941769E-5</v>
      </c>
      <c r="F72" s="121">
        <f>E72*$F$79+'True Up FY23 FY24'!N42</f>
        <v>0.49851813576749082</v>
      </c>
      <c r="G72" s="121">
        <f>'F3 A'!F45</f>
        <v>1.7054392350565275</v>
      </c>
      <c r="H72" s="202">
        <f>'F3 A'!G45</f>
        <v>6.0193287719890174E-5</v>
      </c>
      <c r="I72" s="121">
        <f t="shared" si="16"/>
        <v>0.71962636885819464</v>
      </c>
      <c r="J72" s="121">
        <f>'F3 A'!H45</f>
        <v>1.9075675073952223</v>
      </c>
      <c r="K72" s="202">
        <f>'F3 A'!I45</f>
        <v>6.3412431868624231E-5</v>
      </c>
      <c r="L72" s="121">
        <f t="shared" si="17"/>
        <v>0.88517646201323674</v>
      </c>
      <c r="M72" s="121">
        <f>'F3 A'!J45</f>
        <v>2.1336519768465463</v>
      </c>
      <c r="N72" s="202">
        <f>'F3 A'!K45</f>
        <v>6.6798217194582394E-5</v>
      </c>
      <c r="O72" s="121">
        <f t="shared" si="18"/>
        <v>1.0436578630723927</v>
      </c>
      <c r="P72" s="121">
        <f>'F3 A'!L45</f>
        <v>2.3865319264729772</v>
      </c>
      <c r="Q72" s="202">
        <f>'F3 A'!M45</f>
        <v>7.035913089939272E-5</v>
      </c>
      <c r="R72" s="121">
        <f t="shared" si="19"/>
        <v>1.1912465132859531</v>
      </c>
      <c r="S72" s="11"/>
    </row>
    <row r="73" spans="2:19">
      <c r="B73" s="68">
        <v>14</v>
      </c>
      <c r="C73" s="10" t="s">
        <v>109</v>
      </c>
      <c r="D73" s="121">
        <f>'F3 A'!D46</f>
        <v>0.60498985597579935</v>
      </c>
      <c r="E73" s="202">
        <f>'F3 A'!E46</f>
        <v>2.2669411963350998E-5</v>
      </c>
      <c r="F73" s="121">
        <f>E73*$F$79+'True Up FY23 FY24'!N43</f>
        <v>0.18190898707456254</v>
      </c>
      <c r="G73" s="121">
        <f>'F3 A'!F46</f>
        <v>0.63555822495693004</v>
      </c>
      <c r="H73" s="202">
        <f>'F3 A'!G46</f>
        <v>2.2431956713079346E-5</v>
      </c>
      <c r="I73" s="121">
        <f t="shared" si="16"/>
        <v>0.26817986136489685</v>
      </c>
      <c r="J73" s="121">
        <f>'F3 A'!H46</f>
        <v>0.66767112426850628</v>
      </c>
      <c r="K73" s="202">
        <f>'F3 A'!I46</f>
        <v>2.2195099001312773E-5</v>
      </c>
      <c r="L73" s="121">
        <f t="shared" si="17"/>
        <v>0.30982220093244012</v>
      </c>
      <c r="M73" s="121">
        <f>'F3 A'!J46</f>
        <v>0.70140659451332055</v>
      </c>
      <c r="N73" s="202">
        <f>'F3 A'!K46</f>
        <v>2.1958927955654526E-5</v>
      </c>
      <c r="O73" s="121">
        <f t="shared" si="18"/>
        <v>0.34308711801095404</v>
      </c>
      <c r="P73" s="121">
        <f>'F3 A'!L46</f>
        <v>0.73684661945770435</v>
      </c>
      <c r="Q73" s="202">
        <f>'F3 A'!M46</f>
        <v>2.1723525747178671E-5</v>
      </c>
      <c r="R73" s="121">
        <f t="shared" si="19"/>
        <v>0.36779980042117855</v>
      </c>
      <c r="S73" s="11"/>
    </row>
    <row r="74" spans="2:19">
      <c r="B74" s="68">
        <v>15</v>
      </c>
      <c r="C74" s="10" t="s">
        <v>110</v>
      </c>
      <c r="D74" s="121">
        <f>'F3 A'!D47</f>
        <v>27.811180341327091</v>
      </c>
      <c r="E74" s="202">
        <f>'F3 A'!E47</f>
        <v>1.0421052487362898E-3</v>
      </c>
      <c r="F74" s="121">
        <f>E74*$F$79+'True Up FY23 FY24'!N44</f>
        <v>12.337883482643196</v>
      </c>
      <c r="G74" s="121">
        <f>'F3 A'!F47</f>
        <v>29.017967451535803</v>
      </c>
      <c r="H74" s="202">
        <f>'F3 A'!G47</f>
        <v>1.0241859269754681E-3</v>
      </c>
      <c r="I74" s="121">
        <f t="shared" si="16"/>
        <v>12.24440843129884</v>
      </c>
      <c r="J74" s="121">
        <f>'F3 A'!H47</f>
        <v>30.277119657777558</v>
      </c>
      <c r="K74" s="202">
        <f>'F3 A'!I47</f>
        <v>1.0064890390687577E-3</v>
      </c>
      <c r="L74" s="121">
        <f t="shared" si="17"/>
        <v>14.049617407888798</v>
      </c>
      <c r="M74" s="121">
        <f>'F3 A'!J47</f>
        <v>31.590909194532948</v>
      </c>
      <c r="N74" s="202">
        <f>'F3 A'!K47</f>
        <v>9.8901622038171321E-4</v>
      </c>
      <c r="O74" s="121">
        <f t="shared" si="18"/>
        <v>15.452426703256815</v>
      </c>
      <c r="P74" s="121">
        <f>'F3 A'!L47</f>
        <v>32.961706893438418</v>
      </c>
      <c r="Q74" s="202">
        <f>'F3 A'!M47</f>
        <v>9.7176870933811442E-4</v>
      </c>
      <c r="R74" s="121">
        <f t="shared" si="19"/>
        <v>16.452961711177291</v>
      </c>
      <c r="S74" s="11"/>
    </row>
    <row r="75" spans="2:19">
      <c r="B75" s="68">
        <v>16</v>
      </c>
      <c r="C75" s="65" t="s">
        <v>111</v>
      </c>
      <c r="D75" s="121">
        <f>'F3 A'!D48</f>
        <v>15.168212673689592</v>
      </c>
      <c r="E75" s="202">
        <f>'F3 A'!E48</f>
        <v>5.6836401214195868E-4</v>
      </c>
      <c r="F75" s="121">
        <f>E75*$F$79+'True Up FY23 FY24'!N45</f>
        <v>6.7290793958106061</v>
      </c>
      <c r="G75" s="121">
        <f>'F3 A'!F48</f>
        <v>15.764169893435076</v>
      </c>
      <c r="H75" s="202">
        <f>'F3 A'!G48</f>
        <v>5.5639461937752148E-4</v>
      </c>
      <c r="I75" s="121">
        <f t="shared" si="16"/>
        <v>6.6518420036820283</v>
      </c>
      <c r="J75" s="121">
        <f>'F3 A'!H48</f>
        <v>16.38354219941434</v>
      </c>
      <c r="K75" s="202">
        <f>'F3 A'!I48</f>
        <v>5.4463092365508693E-4</v>
      </c>
      <c r="L75" s="121">
        <f t="shared" si="17"/>
        <v>7.6025230368518022</v>
      </c>
      <c r="M75" s="121">
        <f>'F3 A'!J48</f>
        <v>17.0272495675001</v>
      </c>
      <c r="N75" s="202">
        <f>'F3 A'!K48</f>
        <v>5.3307190074983473E-4</v>
      </c>
      <c r="O75" s="121">
        <f t="shared" si="18"/>
        <v>8.3287354687908195</v>
      </c>
      <c r="P75" s="121">
        <f>'F3 A'!L48</f>
        <v>17.696248119304524</v>
      </c>
      <c r="Q75" s="202">
        <f>'F3 A'!M48</f>
        <v>5.2171631313325216E-4</v>
      </c>
      <c r="R75" s="121">
        <f t="shared" si="19"/>
        <v>8.833149741901563</v>
      </c>
      <c r="S75" s="11"/>
    </row>
    <row r="76" spans="2:19">
      <c r="B76" s="68">
        <v>17</v>
      </c>
      <c r="C76" s="65" t="s">
        <v>112</v>
      </c>
      <c r="D76" s="121">
        <f>'F3 A'!D49</f>
        <v>10.621618110528988</v>
      </c>
      <c r="E76" s="202">
        <f>'F3 A'!E49</f>
        <v>3.9799979170990159E-4</v>
      </c>
      <c r="F76" s="121">
        <f>E76*$F$79+'True Up FY23 FY24'!N46</f>
        <v>4.7120720888695047</v>
      </c>
      <c r="G76" s="121">
        <f>'F3 A'!F49</f>
        <v>11.03894018627553</v>
      </c>
      <c r="H76" s="202">
        <f>'F3 A'!G49</f>
        <v>3.8961816351851253E-4</v>
      </c>
      <c r="I76" s="121">
        <f t="shared" si="16"/>
        <v>4.6579862119971454</v>
      </c>
      <c r="J76" s="121">
        <f>'F3 A'!H49</f>
        <v>11.472658795308536</v>
      </c>
      <c r="K76" s="202">
        <f>'F3 A'!I49</f>
        <v>3.8138057572750686E-4</v>
      </c>
      <c r="L76" s="121">
        <f t="shared" si="17"/>
        <v>5.3237054431606055</v>
      </c>
      <c r="M76" s="121">
        <f>'F3 A'!J49</f>
        <v>11.923418155414312</v>
      </c>
      <c r="N76" s="202">
        <f>'F3 A'!K49</f>
        <v>3.7328631111824213E-4</v>
      </c>
      <c r="O76" s="121">
        <f t="shared" si="18"/>
        <v>5.8322393940693038</v>
      </c>
      <c r="P76" s="121">
        <f>'F3 A'!L49</f>
        <v>12.391887795617155</v>
      </c>
      <c r="Q76" s="202">
        <f>'F3 A'!M49</f>
        <v>3.6533450310508004E-4</v>
      </c>
      <c r="R76" s="121">
        <f t="shared" si="19"/>
        <v>6.1854580556045367</v>
      </c>
      <c r="S76" s="31"/>
    </row>
    <row r="77" spans="2:19">
      <c r="B77" s="68">
        <v>18</v>
      </c>
      <c r="C77" s="65" t="s">
        <v>167</v>
      </c>
      <c r="D77" s="121">
        <f>'F3 A'!D50</f>
        <v>20</v>
      </c>
      <c r="E77" s="202">
        <f>'F3 A'!E50</f>
        <v>7.4941461379669197E-4</v>
      </c>
      <c r="F77" s="121">
        <f>E77*$F$79+'True Up FY23 FY24'!N47</f>
        <v>8.8726068661770565</v>
      </c>
      <c r="G77" s="121">
        <f>'F3 A'!F50</f>
        <v>20</v>
      </c>
      <c r="H77" s="202">
        <f>'F3 A'!G50</f>
        <v>7.0589777088006359E-4</v>
      </c>
      <c r="I77" s="121">
        <f t="shared" si="16"/>
        <v>8.4391909610821454</v>
      </c>
      <c r="J77" s="121">
        <f>'F3 A'!H50</f>
        <v>20</v>
      </c>
      <c r="K77" s="202">
        <f>'F3 A'!I50</f>
        <v>6.6485124770460904E-4</v>
      </c>
      <c r="L77" s="121">
        <f t="shared" si="17"/>
        <v>9.2806829491653744</v>
      </c>
      <c r="M77" s="121">
        <f>'F3 A'!J50</f>
        <v>20</v>
      </c>
      <c r="N77" s="202">
        <f>'F3 A'!K50</f>
        <v>6.2613976336766536E-4</v>
      </c>
      <c r="O77" s="121">
        <f t="shared" si="18"/>
        <v>9.782831262058755</v>
      </c>
      <c r="P77" s="121">
        <f>'F3 A'!L50</f>
        <v>20</v>
      </c>
      <c r="Q77" s="202">
        <f>'F3 A'!M50</f>
        <v>5.896349436512715E-4</v>
      </c>
      <c r="R77" s="121">
        <f t="shared" si="19"/>
        <v>9.9830762796161707</v>
      </c>
      <c r="S77" s="31"/>
    </row>
    <row r="78" spans="2:19">
      <c r="B78" s="68">
        <v>19</v>
      </c>
      <c r="C78" s="65" t="s">
        <v>168</v>
      </c>
      <c r="D78" s="121">
        <f>'F3 A'!D51</f>
        <v>20</v>
      </c>
      <c r="E78" s="202">
        <f>'F3 A'!E51</f>
        <v>7.4941461379669197E-4</v>
      </c>
      <c r="F78" s="121">
        <f>E78*$F$79+'True Up FY23 FY24'!N48</f>
        <v>8.8726068661770565</v>
      </c>
      <c r="G78" s="121">
        <f>'F3 A'!F51</f>
        <v>20</v>
      </c>
      <c r="H78" s="202">
        <f>'F3 A'!G51</f>
        <v>7.0589777088006359E-4</v>
      </c>
      <c r="I78" s="121">
        <f t="shared" si="16"/>
        <v>8.4391909610821454</v>
      </c>
      <c r="J78" s="121">
        <f>'F3 A'!H51</f>
        <v>20</v>
      </c>
      <c r="K78" s="202">
        <f>'F3 A'!I51</f>
        <v>6.6485124770460904E-4</v>
      </c>
      <c r="L78" s="121">
        <f t="shared" si="17"/>
        <v>9.2806829491653744</v>
      </c>
      <c r="M78" s="121">
        <f>'F3 A'!J51</f>
        <v>20</v>
      </c>
      <c r="N78" s="202">
        <f>'F3 A'!K51</f>
        <v>6.2613976336766536E-4</v>
      </c>
      <c r="O78" s="121">
        <f t="shared" si="18"/>
        <v>9.782831262058755</v>
      </c>
      <c r="P78" s="121">
        <f>'F3 A'!L51</f>
        <v>20</v>
      </c>
      <c r="Q78" s="202">
        <f>'F3 A'!M51</f>
        <v>5.896349436512715E-4</v>
      </c>
      <c r="R78" s="121">
        <f t="shared" si="19"/>
        <v>9.9830762796161707</v>
      </c>
      <c r="S78" s="31"/>
    </row>
    <row r="79" spans="2:19">
      <c r="B79" s="56"/>
      <c r="C79" s="55" t="s">
        <v>191</v>
      </c>
      <c r="D79" s="126">
        <f>'F3 A'!D52</f>
        <v>26687.496656458025</v>
      </c>
      <c r="E79" s="201">
        <f>'F3 A'!E52</f>
        <v>0.99999999999999978</v>
      </c>
      <c r="F79" s="126">
        <f>'F1 '!E19</f>
        <v>11839.383303758337</v>
      </c>
      <c r="G79" s="126">
        <f>'F3 A'!F52</f>
        <v>28332.71448791432</v>
      </c>
      <c r="H79" s="201">
        <f>'F3 A'!G52</f>
        <v>1</v>
      </c>
      <c r="I79" s="126">
        <f>'F1 '!F19</f>
        <v>11955.259400466382</v>
      </c>
      <c r="J79" s="126">
        <f>'F3 A'!H52</f>
        <v>30081.916923597211</v>
      </c>
      <c r="K79" s="201">
        <f>F3B!G54</f>
        <v>1.0000000000000002</v>
      </c>
      <c r="L79" s="126">
        <f>'F1 '!G19</f>
        <v>13959.036673551898</v>
      </c>
      <c r="M79" s="126">
        <f>'F3 A'!J52</f>
        <v>31941.750340899729</v>
      </c>
      <c r="N79" s="201">
        <f>'F3 A'!K52</f>
        <v>0.99999999999999978</v>
      </c>
      <c r="O79" s="126">
        <f>'F1 '!H19</f>
        <v>15624.037689991488</v>
      </c>
      <c r="P79" s="126">
        <f>'F3 A'!L52</f>
        <v>33919.292293213584</v>
      </c>
      <c r="Q79" s="201">
        <f>'F3 A'!M52</f>
        <v>1.0000000000000002</v>
      </c>
      <c r="R79" s="126">
        <f>'F1 '!I19</f>
        <v>16930.944115687405</v>
      </c>
      <c r="S79" s="31"/>
    </row>
    <row r="80" spans="2:19">
      <c r="C80" s="9" t="s">
        <v>196</v>
      </c>
      <c r="I80" s="205">
        <f>SUM(I60:I78)</f>
        <v>11955.259400466386</v>
      </c>
    </row>
    <row r="86" spans="2:19" ht="15.6">
      <c r="B86" s="409" t="s">
        <v>197</v>
      </c>
      <c r="C86" s="409"/>
      <c r="D86" s="409"/>
      <c r="E86" s="409"/>
      <c r="F86" s="409"/>
      <c r="G86" s="409"/>
      <c r="H86" s="409"/>
      <c r="I86" s="409"/>
      <c r="J86" s="409"/>
      <c r="K86" s="409"/>
      <c r="L86" s="409"/>
      <c r="M86" s="409"/>
      <c r="N86" s="409"/>
      <c r="O86" s="409"/>
      <c r="P86" s="409"/>
      <c r="Q86" s="409"/>
      <c r="R86" s="409"/>
      <c r="S86" s="409"/>
    </row>
    <row r="87" spans="2:19">
      <c r="B87" s="403" t="s">
        <v>2</v>
      </c>
      <c r="C87" s="406" t="s">
        <v>193</v>
      </c>
      <c r="D87" s="425" t="s">
        <v>24</v>
      </c>
      <c r="E87" s="426"/>
      <c r="F87" s="426"/>
      <c r="G87" s="426"/>
      <c r="H87" s="426"/>
      <c r="I87" s="427"/>
      <c r="J87" s="425" t="s">
        <v>24</v>
      </c>
      <c r="K87" s="426"/>
      <c r="L87" s="426"/>
      <c r="M87" s="426"/>
      <c r="N87" s="426"/>
      <c r="O87" s="426"/>
      <c r="P87" s="426"/>
      <c r="Q87" s="426"/>
      <c r="R87" s="427"/>
      <c r="S87" s="428" t="s">
        <v>25</v>
      </c>
    </row>
    <row r="88" spans="2:19">
      <c r="B88" s="404"/>
      <c r="C88" s="406"/>
      <c r="D88" s="430" t="s">
        <v>26</v>
      </c>
      <c r="E88" s="431"/>
      <c r="F88" s="432"/>
      <c r="G88" s="430" t="s">
        <v>27</v>
      </c>
      <c r="H88" s="431"/>
      <c r="I88" s="432"/>
      <c r="J88" s="430" t="s">
        <v>28</v>
      </c>
      <c r="K88" s="431"/>
      <c r="L88" s="432"/>
      <c r="M88" s="430" t="s">
        <v>29</v>
      </c>
      <c r="N88" s="431"/>
      <c r="O88" s="432"/>
      <c r="P88" s="430" t="s">
        <v>30</v>
      </c>
      <c r="Q88" s="431"/>
      <c r="R88" s="432"/>
      <c r="S88" s="428"/>
    </row>
    <row r="89" spans="2:19" ht="41.45">
      <c r="B89" s="423"/>
      <c r="C89" s="424"/>
      <c r="D89" s="50" t="s">
        <v>188</v>
      </c>
      <c r="E89" s="45" t="s">
        <v>189</v>
      </c>
      <c r="F89" s="45" t="s">
        <v>190</v>
      </c>
      <c r="G89" s="50" t="s">
        <v>188</v>
      </c>
      <c r="H89" s="45" t="s">
        <v>189</v>
      </c>
      <c r="I89" s="45" t="s">
        <v>190</v>
      </c>
      <c r="J89" s="50" t="s">
        <v>188</v>
      </c>
      <c r="K89" s="45" t="s">
        <v>189</v>
      </c>
      <c r="L89" s="45" t="s">
        <v>190</v>
      </c>
      <c r="M89" s="50" t="s">
        <v>188</v>
      </c>
      <c r="N89" s="45" t="s">
        <v>189</v>
      </c>
      <c r="O89" s="45" t="s">
        <v>190</v>
      </c>
      <c r="P89" s="45" t="s">
        <v>188</v>
      </c>
      <c r="Q89" s="45" t="s">
        <v>189</v>
      </c>
      <c r="R89" s="45" t="s">
        <v>190</v>
      </c>
      <c r="S89" s="429"/>
    </row>
    <row r="90" spans="2:19">
      <c r="B90" s="68">
        <v>1</v>
      </c>
      <c r="C90" s="10" t="s">
        <v>96</v>
      </c>
      <c r="D90" s="121">
        <f t="shared" ref="D90:E109" si="20">D33</f>
        <v>21623.383428000674</v>
      </c>
      <c r="E90" s="202">
        <f t="shared" si="20"/>
        <v>0.8427869142846155</v>
      </c>
      <c r="F90" s="121">
        <f t="shared" ref="F90:F108" si="21">E33*$F$109</f>
        <v>9978.0773216072848</v>
      </c>
      <c r="G90" s="121">
        <f t="shared" ref="G90:O90" si="22">G33</f>
        <v>22819.528507745523</v>
      </c>
      <c r="H90" s="202">
        <f t="shared" si="22"/>
        <v>0.84254840271258946</v>
      </c>
      <c r="I90" s="121">
        <f t="shared" si="22"/>
        <v>10072.884711877621</v>
      </c>
      <c r="J90" s="121">
        <f t="shared" si="22"/>
        <v>24057.74913949913</v>
      </c>
      <c r="K90" s="202">
        <f t="shared" si="22"/>
        <v>0.84210385838765101</v>
      </c>
      <c r="L90" s="121">
        <f t="shared" si="22"/>
        <v>11754.958642172774</v>
      </c>
      <c r="M90" s="121">
        <f t="shared" si="22"/>
        <v>25333.765492418705</v>
      </c>
      <c r="N90" s="202">
        <f t="shared" si="22"/>
        <v>0.84143212966692182</v>
      </c>
      <c r="O90" s="121">
        <f t="shared" si="22"/>
        <v>13146.567307485791</v>
      </c>
      <c r="P90" s="121">
        <v>21623.383428000674</v>
      </c>
      <c r="Q90" s="121">
        <v>0.8427869142846155</v>
      </c>
      <c r="R90" s="121">
        <v>10556.755409389254</v>
      </c>
      <c r="S90" s="11"/>
    </row>
    <row r="91" spans="2:19">
      <c r="B91" s="68">
        <v>2</v>
      </c>
      <c r="C91" s="10" t="s">
        <v>97</v>
      </c>
      <c r="D91" s="121">
        <f t="shared" si="20"/>
        <v>910.1462373682624</v>
      </c>
      <c r="E91" s="202">
        <f t="shared" si="20"/>
        <v>3.5473603910943292E-2</v>
      </c>
      <c r="F91" s="121">
        <f t="shared" si="21"/>
        <v>419.98559386735849</v>
      </c>
      <c r="G91" s="121">
        <f t="shared" ref="G91:O91" si="23">G34</f>
        <v>972.57001312277851</v>
      </c>
      <c r="H91" s="202">
        <f t="shared" si="23"/>
        <v>3.590947599134757E-2</v>
      </c>
      <c r="I91" s="121">
        <f t="shared" si="23"/>
        <v>429.30710041137991</v>
      </c>
      <c r="J91" s="121">
        <f t="shared" si="23"/>
        <v>1039.275219288651</v>
      </c>
      <c r="K91" s="202">
        <f t="shared" si="23"/>
        <v>3.637820259139446E-2</v>
      </c>
      <c r="L91" s="121">
        <f t="shared" si="23"/>
        <v>507.80466409117594</v>
      </c>
      <c r="M91" s="121">
        <f t="shared" si="23"/>
        <v>1110.5555043378881</v>
      </c>
      <c r="N91" s="202">
        <f t="shared" si="23"/>
        <v>3.6885834575519146E-2</v>
      </c>
      <c r="O91" s="121">
        <f t="shared" si="23"/>
        <v>576.30566963470233</v>
      </c>
      <c r="P91" s="121">
        <v>910.1462373682624</v>
      </c>
      <c r="Q91" s="121">
        <v>3.5473603910943292E-2</v>
      </c>
      <c r="R91" s="121">
        <v>444.34263706533488</v>
      </c>
      <c r="S91" s="11"/>
    </row>
    <row r="92" spans="2:19">
      <c r="B92" s="68">
        <v>3</v>
      </c>
      <c r="C92" s="10" t="s">
        <v>98</v>
      </c>
      <c r="D92" s="121">
        <f t="shared" si="20"/>
        <v>1655.0274949930335</v>
      </c>
      <c r="E92" s="202">
        <f t="shared" si="20"/>
        <v>6.4505886426412223E-2</v>
      </c>
      <c r="F92" s="121">
        <f t="shared" si="21"/>
        <v>763.7099147509964</v>
      </c>
      <c r="G92" s="121">
        <f t="shared" ref="G92:O92" si="24">G35</f>
        <v>1778.4325159970329</v>
      </c>
      <c r="H92" s="202">
        <f t="shared" si="24"/>
        <v>6.5663735128306089E-2</v>
      </c>
      <c r="I92" s="121">
        <f t="shared" si="24"/>
        <v>785.02698666241599</v>
      </c>
      <c r="J92" s="121">
        <f t="shared" si="24"/>
        <v>1911.0390754981686</v>
      </c>
      <c r="K92" s="202">
        <f t="shared" si="24"/>
        <v>6.6892932072533939E-2</v>
      </c>
      <c r="L92" s="121">
        <f t="shared" si="24"/>
        <v>933.76089200191723</v>
      </c>
      <c r="M92" s="121">
        <f t="shared" si="24"/>
        <v>2053.5332745158757</v>
      </c>
      <c r="N92" s="202">
        <f t="shared" si="24"/>
        <v>6.8205765820121333E-2</v>
      </c>
      <c r="O92" s="121">
        <f t="shared" si="24"/>
        <v>1065.6494558483089</v>
      </c>
      <c r="P92" s="121">
        <v>1655.0274949930335</v>
      </c>
      <c r="Q92" s="121">
        <v>6.4505886426412223E-2</v>
      </c>
      <c r="R92" s="121">
        <v>808.00123249126102</v>
      </c>
      <c r="S92" s="11"/>
    </row>
    <row r="93" spans="2:19">
      <c r="B93" s="68">
        <v>4</v>
      </c>
      <c r="C93" s="10" t="s">
        <v>99</v>
      </c>
      <c r="D93" s="121">
        <f t="shared" si="20"/>
        <v>811.84709635118861</v>
      </c>
      <c r="E93" s="202">
        <f t="shared" si="20"/>
        <v>3.1642324221968741E-2</v>
      </c>
      <c r="F93" s="121">
        <f t="shared" si="21"/>
        <v>374.62560508568475</v>
      </c>
      <c r="G93" s="121">
        <f t="shared" ref="G93:O93" si="25">G36</f>
        <v>823.52164456685011</v>
      </c>
      <c r="H93" s="202">
        <f t="shared" si="25"/>
        <v>3.0406274432599776E-2</v>
      </c>
      <c r="I93" s="121">
        <f t="shared" si="25"/>
        <v>363.51489824349909</v>
      </c>
      <c r="J93" s="121">
        <f t="shared" si="25"/>
        <v>835.36407547452643</v>
      </c>
      <c r="K93" s="202">
        <f t="shared" si="25"/>
        <v>2.9240612121960854E-2</v>
      </c>
      <c r="L93" s="121">
        <f t="shared" si="25"/>
        <v>408.17077696755774</v>
      </c>
      <c r="M93" s="121">
        <f t="shared" si="25"/>
        <v>847.37680326599241</v>
      </c>
      <c r="N93" s="202">
        <f t="shared" si="25"/>
        <v>2.8144654153991644E-2</v>
      </c>
      <c r="O93" s="121">
        <f t="shared" si="25"/>
        <v>439.73313727374097</v>
      </c>
      <c r="P93" s="121">
        <v>811.84709635118861</v>
      </c>
      <c r="Q93" s="121">
        <v>3.1642324221968741E-2</v>
      </c>
      <c r="R93" s="121">
        <v>396.35199803672941</v>
      </c>
      <c r="S93" s="11"/>
    </row>
    <row r="94" spans="2:19">
      <c r="B94" s="68">
        <v>5</v>
      </c>
      <c r="C94" s="10" t="s">
        <v>100</v>
      </c>
      <c r="D94" s="121">
        <f t="shared" si="20"/>
        <v>506.54351686222435</v>
      </c>
      <c r="E94" s="202">
        <f t="shared" si="20"/>
        <v>1.9742897726836621E-2</v>
      </c>
      <c r="F94" s="121">
        <f t="shared" si="21"/>
        <v>233.74373371491791</v>
      </c>
      <c r="G94" s="121">
        <f t="shared" ref="G94:O94" si="26">G37</f>
        <v>534.41338571650533</v>
      </c>
      <c r="H94" s="202">
        <f t="shared" si="26"/>
        <v>1.9731746182697678E-2</v>
      </c>
      <c r="I94" s="121">
        <f t="shared" si="26"/>
        <v>235.89814403831306</v>
      </c>
      <c r="J94" s="121">
        <f t="shared" si="26"/>
        <v>563.81664620269635</v>
      </c>
      <c r="K94" s="202">
        <f t="shared" si="26"/>
        <v>1.9735519330482162E-2</v>
      </c>
      <c r="L94" s="121">
        <f t="shared" si="26"/>
        <v>275.48883810579292</v>
      </c>
      <c r="M94" s="121">
        <f t="shared" si="26"/>
        <v>594.83766505783183</v>
      </c>
      <c r="N94" s="202">
        <f t="shared" si="26"/>
        <v>1.9756854679399836E-2</v>
      </c>
      <c r="O94" s="121">
        <f t="shared" si="26"/>
        <v>308.68184214662773</v>
      </c>
      <c r="P94" s="121">
        <v>506.54351686222435</v>
      </c>
      <c r="Q94" s="121">
        <v>1.9742897726836621E-2</v>
      </c>
      <c r="R94" s="121">
        <v>247.2996896869426</v>
      </c>
      <c r="S94" s="11"/>
    </row>
    <row r="95" spans="2:19">
      <c r="B95" s="68">
        <v>6</v>
      </c>
      <c r="C95" s="10" t="s">
        <v>101</v>
      </c>
      <c r="D95" s="121">
        <f t="shared" si="20"/>
        <v>9.4507539347799021</v>
      </c>
      <c r="E95" s="202">
        <f t="shared" si="20"/>
        <v>3.6834992881096935E-4</v>
      </c>
      <c r="F95" s="121">
        <f t="shared" si="21"/>
        <v>4.3610359971051622</v>
      </c>
      <c r="G95" s="121">
        <f t="shared" ref="G95:O95" si="27">G38</f>
        <v>9.647068090235507</v>
      </c>
      <c r="H95" s="202">
        <f t="shared" si="27"/>
        <v>3.5619148780960256E-4</v>
      </c>
      <c r="I95" s="121">
        <f t="shared" si="27"/>
        <v>4.2583616330018579</v>
      </c>
      <c r="J95" s="121">
        <f t="shared" si="27"/>
        <v>9.8474601476128232</v>
      </c>
      <c r="K95" s="202">
        <f t="shared" si="27"/>
        <v>3.4469493124808737E-4</v>
      </c>
      <c r="L95" s="121">
        <f t="shared" si="27"/>
        <v>4.8116091864795019</v>
      </c>
      <c r="M95" s="121">
        <f t="shared" si="27"/>
        <v>10.052014814425908</v>
      </c>
      <c r="N95" s="202">
        <f t="shared" si="27"/>
        <v>3.3386620853015234E-4</v>
      </c>
      <c r="O95" s="121">
        <f t="shared" si="27"/>
        <v>5.2163382254896575</v>
      </c>
      <c r="P95" s="121">
        <v>9.4507539347799021</v>
      </c>
      <c r="Q95" s="121">
        <v>3.6834992881096935E-4</v>
      </c>
      <c r="R95" s="121">
        <v>4.6139540583922081</v>
      </c>
      <c r="S95" s="11"/>
    </row>
    <row r="96" spans="2:19">
      <c r="B96" s="68">
        <v>7</v>
      </c>
      <c r="C96" s="10" t="s">
        <v>102</v>
      </c>
      <c r="D96" s="121">
        <f t="shared" si="20"/>
        <v>4.7613692735785582</v>
      </c>
      <c r="E96" s="202">
        <f t="shared" si="20"/>
        <v>1.8557779041426751E-4</v>
      </c>
      <c r="F96" s="121">
        <f t="shared" si="21"/>
        <v>2.1971265933790427</v>
      </c>
      <c r="G96" s="121">
        <f t="shared" ref="G96:O96" si="28">G39</f>
        <v>4.9000987520471337</v>
      </c>
      <c r="H96" s="202">
        <f t="shared" si="28"/>
        <v>1.8092268537756706E-4</v>
      </c>
      <c r="I96" s="121">
        <f t="shared" si="28"/>
        <v>2.1629776351177803</v>
      </c>
      <c r="J96" s="121">
        <f t="shared" si="28"/>
        <v>5.0428703173798723</v>
      </c>
      <c r="K96" s="202">
        <f t="shared" si="28"/>
        <v>1.7651778339652937E-4</v>
      </c>
      <c r="L96" s="121">
        <f t="shared" si="28"/>
        <v>2.4640182119662439</v>
      </c>
      <c r="M96" s="121">
        <f t="shared" si="28"/>
        <v>5.189801741707095</v>
      </c>
      <c r="N96" s="202">
        <f t="shared" si="28"/>
        <v>1.7237334629076418E-4</v>
      </c>
      <c r="O96" s="121">
        <f t="shared" si="28"/>
        <v>2.6931676591968539</v>
      </c>
      <c r="P96" s="121">
        <v>4.7613692735785582</v>
      </c>
      <c r="Q96" s="121">
        <v>1.8557779041426751E-4</v>
      </c>
      <c r="R96" s="121">
        <v>2.3245488386364781</v>
      </c>
      <c r="S96" s="11"/>
    </row>
    <row r="97" spans="2:19">
      <c r="B97" s="68">
        <v>8</v>
      </c>
      <c r="C97" s="10" t="s">
        <v>103</v>
      </c>
      <c r="D97" s="121">
        <f t="shared" si="20"/>
        <v>5.2546953107476844</v>
      </c>
      <c r="E97" s="202">
        <f t="shared" si="20"/>
        <v>2.0480552736794127E-4</v>
      </c>
      <c r="F97" s="121">
        <f t="shared" si="21"/>
        <v>2.4247711412374251</v>
      </c>
      <c r="G97" s="121">
        <f t="shared" ref="G97:O97" si="29">G40</f>
        <v>5.3597556735183662</v>
      </c>
      <c r="H97" s="202">
        <f t="shared" si="29"/>
        <v>1.9789425448119336E-4</v>
      </c>
      <c r="I97" s="121">
        <f t="shared" si="29"/>
        <v>2.3658771461845736</v>
      </c>
      <c r="J97" s="121">
        <f t="shared" si="29"/>
        <v>5.4669165728897013</v>
      </c>
      <c r="K97" s="202">
        <f t="shared" si="29"/>
        <v>1.9136085894067386E-4</v>
      </c>
      <c r="L97" s="121">
        <f t="shared" si="29"/>
        <v>2.6712132478352579</v>
      </c>
      <c r="M97" s="121">
        <f t="shared" si="29"/>
        <v>5.5762200061848892</v>
      </c>
      <c r="N97" s="202">
        <f t="shared" si="29"/>
        <v>1.8520778826580528E-4</v>
      </c>
      <c r="O97" s="121">
        <f t="shared" si="29"/>
        <v>2.893693464344905</v>
      </c>
      <c r="P97" s="121">
        <v>5.2546953107476844</v>
      </c>
      <c r="Q97" s="121">
        <v>2.0480552736794127E-4</v>
      </c>
      <c r="R97" s="121">
        <v>2.5653956204927284</v>
      </c>
      <c r="S97" s="11"/>
    </row>
    <row r="98" spans="2:19">
      <c r="B98" s="68">
        <v>9</v>
      </c>
      <c r="C98" s="10" t="s">
        <v>104</v>
      </c>
      <c r="D98" s="121">
        <f t="shared" si="20"/>
        <v>7.7174328814862889</v>
      </c>
      <c r="E98" s="202">
        <f t="shared" si="20"/>
        <v>3.0079249466408967E-4</v>
      </c>
      <c r="F98" s="121">
        <f t="shared" si="21"/>
        <v>3.5611976392218421</v>
      </c>
      <c r="G98" s="121">
        <f t="shared" ref="G98:O98" si="30">G41</f>
        <v>9.1783141991477848</v>
      </c>
      <c r="H98" s="202">
        <f t="shared" si="30"/>
        <v>3.3888403809313641E-4</v>
      </c>
      <c r="I98" s="121">
        <f t="shared" si="30"/>
        <v>4.0514465820809766</v>
      </c>
      <c r="J98" s="121">
        <f t="shared" si="30"/>
        <v>10.915734912365561</v>
      </c>
      <c r="K98" s="202">
        <f t="shared" si="30"/>
        <v>3.8208821754432857E-4</v>
      </c>
      <c r="L98" s="121">
        <f t="shared" si="30"/>
        <v>5.3335834412333583</v>
      </c>
      <c r="M98" s="121">
        <f t="shared" si="30"/>
        <v>12.982042899348542</v>
      </c>
      <c r="N98" s="202">
        <f t="shared" si="30"/>
        <v>4.3118374990465261E-4</v>
      </c>
      <c r="O98" s="121">
        <f t="shared" si="30"/>
        <v>6.736831159822156</v>
      </c>
      <c r="P98" s="121">
        <v>7.7174328814862889</v>
      </c>
      <c r="Q98" s="121">
        <v>3.0079249466408967E-4</v>
      </c>
      <c r="R98" s="121">
        <v>3.7677291155430339</v>
      </c>
      <c r="S98" s="11"/>
    </row>
    <row r="99" spans="2:19">
      <c r="B99" s="68">
        <v>10</v>
      </c>
      <c r="C99" s="10" t="s">
        <v>105</v>
      </c>
      <c r="D99" s="121">
        <f t="shared" si="20"/>
        <v>13.595734156852755</v>
      </c>
      <c r="E99" s="202">
        <f t="shared" si="20"/>
        <v>5.2990351281706569E-4</v>
      </c>
      <c r="F99" s="121">
        <f t="shared" si="21"/>
        <v>6.2737308022492595</v>
      </c>
      <c r="G99" s="121">
        <f t="shared" ref="G99:O99" si="31">G42</f>
        <v>14.683392889400977</v>
      </c>
      <c r="H99" s="202">
        <f t="shared" si="31"/>
        <v>5.4214394575098255E-4</v>
      </c>
      <c r="I99" s="121">
        <f t="shared" si="31"/>
        <v>6.4814715038453707</v>
      </c>
      <c r="J99" s="121">
        <f t="shared" si="31"/>
        <v>15.858064320553057</v>
      </c>
      <c r="K99" s="202">
        <f t="shared" si="31"/>
        <v>5.5508672376052958E-4</v>
      </c>
      <c r="L99" s="121">
        <f t="shared" si="31"/>
        <v>7.748475933975004</v>
      </c>
      <c r="M99" s="121">
        <f t="shared" si="31"/>
        <v>17.126709466197301</v>
      </c>
      <c r="N99" s="202">
        <f t="shared" si="31"/>
        <v>5.68844123256829E-4</v>
      </c>
      <c r="O99" s="121">
        <f t="shared" si="31"/>
        <v>8.8876420214948606</v>
      </c>
      <c r="P99" s="121">
        <v>13.595734156852755</v>
      </c>
      <c r="Q99" s="121">
        <v>5.2990351281706569E-4</v>
      </c>
      <c r="R99" s="121">
        <v>6.6375755016727389</v>
      </c>
      <c r="S99" s="11"/>
    </row>
    <row r="100" spans="2:19">
      <c r="B100" s="68">
        <v>11</v>
      </c>
      <c r="C100" s="10" t="s">
        <v>106</v>
      </c>
      <c r="D100" s="121">
        <f t="shared" si="20"/>
        <v>8.1047084000753422</v>
      </c>
      <c r="E100" s="202">
        <f t="shared" si="20"/>
        <v>3.1588683641575982E-4</v>
      </c>
      <c r="F100" s="121">
        <f t="shared" si="21"/>
        <v>3.7399053369377877</v>
      </c>
      <c r="G100" s="121">
        <f t="shared" ref="G100:O100" si="32">G43</f>
        <v>8.1047084000753422</v>
      </c>
      <c r="H100" s="202">
        <f t="shared" si="32"/>
        <v>2.9924409326060285E-4</v>
      </c>
      <c r="I100" s="121">
        <f t="shared" si="32"/>
        <v>3.5775407589878609</v>
      </c>
      <c r="J100" s="121">
        <f t="shared" si="32"/>
        <v>8.1047084000753422</v>
      </c>
      <c r="K100" s="202">
        <f t="shared" si="32"/>
        <v>2.8369263372210658E-4</v>
      </c>
      <c r="L100" s="121">
        <f t="shared" si="32"/>
        <v>3.9600758781434116</v>
      </c>
      <c r="M100" s="121">
        <f t="shared" si="32"/>
        <v>8.1047084000753422</v>
      </c>
      <c r="N100" s="202">
        <f t="shared" si="32"/>
        <v>2.6918864672705625E-4</v>
      </c>
      <c r="O100" s="121">
        <f t="shared" si="32"/>
        <v>4.2058135621813308</v>
      </c>
      <c r="P100" s="121">
        <v>8.1047084000753422</v>
      </c>
      <c r="Q100" s="121">
        <v>3.1588683641575982E-4</v>
      </c>
      <c r="R100" s="121">
        <v>3.956800957116859</v>
      </c>
      <c r="S100" s="11"/>
    </row>
    <row r="101" spans="2:19">
      <c r="B101" s="68">
        <v>12</v>
      </c>
      <c r="C101" s="10" t="s">
        <v>107</v>
      </c>
      <c r="D101" s="121">
        <f t="shared" si="20"/>
        <v>5.4362904073447176</v>
      </c>
      <c r="E101" s="202">
        <f t="shared" si="20"/>
        <v>2.1188332680760006E-4</v>
      </c>
      <c r="F101" s="121">
        <f t="shared" si="21"/>
        <v>2.5085679217506716</v>
      </c>
      <c r="G101" s="121">
        <f t="shared" ref="G101:O101" si="33">G44</f>
        <v>5.4362904073447176</v>
      </c>
      <c r="H101" s="202">
        <f t="shared" si="33"/>
        <v>2.0072008927946879E-4</v>
      </c>
      <c r="I101" s="121">
        <f t="shared" si="33"/>
        <v>2.3996607342208209</v>
      </c>
      <c r="J101" s="121">
        <f t="shared" si="33"/>
        <v>5.4362904073447176</v>
      </c>
      <c r="K101" s="202">
        <f t="shared" si="33"/>
        <v>1.9028883794554655E-4</v>
      </c>
      <c r="L101" s="121">
        <f t="shared" si="33"/>
        <v>2.6562488674494582</v>
      </c>
      <c r="M101" s="121">
        <f t="shared" si="33"/>
        <v>5.4362904073447176</v>
      </c>
      <c r="N101" s="202">
        <f t="shared" si="33"/>
        <v>1.8056018621901289E-4</v>
      </c>
      <c r="O101" s="121">
        <f t="shared" si="33"/>
        <v>2.8210791547977392</v>
      </c>
      <c r="P101" s="121">
        <v>5.4362904073447176</v>
      </c>
      <c r="Q101" s="121">
        <v>2.1188332680760006E-4</v>
      </c>
      <c r="R101" s="121">
        <v>2.6540521910383372</v>
      </c>
      <c r="S101" s="11"/>
    </row>
    <row r="102" spans="2:19">
      <c r="B102" s="68">
        <v>13</v>
      </c>
      <c r="C102" s="10" t="s">
        <v>108</v>
      </c>
      <c r="D102" s="121">
        <f t="shared" si="20"/>
        <v>1.5247287308021791</v>
      </c>
      <c r="E102" s="202">
        <f t="shared" si="20"/>
        <v>5.9427398419521128E-5</v>
      </c>
      <c r="F102" s="121">
        <f t="shared" si="21"/>
        <v>0.70358374863387307</v>
      </c>
      <c r="G102" s="121">
        <f t="shared" ref="G102:O102" si="34">G45</f>
        <v>1.7054392350565275</v>
      </c>
      <c r="H102" s="202">
        <f t="shared" si="34"/>
        <v>6.2968658749129394E-5</v>
      </c>
      <c r="I102" s="121">
        <f t="shared" si="34"/>
        <v>0.75280664944528886</v>
      </c>
      <c r="J102" s="121">
        <f t="shared" si="34"/>
        <v>1.9075675073952223</v>
      </c>
      <c r="K102" s="202">
        <f t="shared" si="34"/>
        <v>6.6771415264074634E-5</v>
      </c>
      <c r="L102" s="121">
        <f t="shared" si="34"/>
        <v>0.93206463441618082</v>
      </c>
      <c r="M102" s="121">
        <f t="shared" si="34"/>
        <v>2.1336519768465463</v>
      </c>
      <c r="N102" s="202">
        <f t="shared" si="34"/>
        <v>7.0866817148966258E-5</v>
      </c>
      <c r="O102" s="121">
        <f t="shared" si="34"/>
        <v>1.1072258221051841</v>
      </c>
      <c r="P102" s="121">
        <v>1.5247287308021791</v>
      </c>
      <c r="Q102" s="121">
        <v>5.9427398419521128E-5</v>
      </c>
      <c r="R102" s="121">
        <v>0.74438805242216388</v>
      </c>
      <c r="S102" s="11"/>
    </row>
    <row r="103" spans="2:19">
      <c r="B103" s="68">
        <v>14</v>
      </c>
      <c r="C103" s="10" t="s">
        <v>109</v>
      </c>
      <c r="D103" s="121">
        <f t="shared" si="20"/>
        <v>0.60498985597579935</v>
      </c>
      <c r="E103" s="202">
        <f t="shared" si="20"/>
        <v>2.3579914567443891E-5</v>
      </c>
      <c r="F103" s="121">
        <f t="shared" si="21"/>
        <v>0.27917164683384321</v>
      </c>
      <c r="G103" s="121">
        <f t="shared" ref="G103:O103" si="35">G46</f>
        <v>0.63555822495693004</v>
      </c>
      <c r="H103" s="202">
        <f t="shared" si="35"/>
        <v>2.3466241517065165E-5</v>
      </c>
      <c r="I103" s="121">
        <f t="shared" si="35"/>
        <v>0.28054500449050784</v>
      </c>
      <c r="J103" s="121">
        <f t="shared" si="35"/>
        <v>0.66767112426850628</v>
      </c>
      <c r="K103" s="202">
        <f t="shared" si="35"/>
        <v>2.3370782803508594E-5</v>
      </c>
      <c r="L103" s="121">
        <f t="shared" si="35"/>
        <v>0.32623361424379249</v>
      </c>
      <c r="M103" s="121">
        <f t="shared" si="35"/>
        <v>0.70140659451332055</v>
      </c>
      <c r="N103" s="202">
        <f t="shared" si="35"/>
        <v>2.3296420137795287E-5</v>
      </c>
      <c r="O103" s="121">
        <f t="shared" si="35"/>
        <v>0.36398414627479025</v>
      </c>
      <c r="P103" s="121">
        <v>0.60498985597579935</v>
      </c>
      <c r="Q103" s="121">
        <v>2.3579914567443891E-5</v>
      </c>
      <c r="R103" s="121">
        <v>0.29536219232129074</v>
      </c>
      <c r="S103" s="11"/>
    </row>
    <row r="104" spans="2:19">
      <c r="B104" s="68">
        <v>15</v>
      </c>
      <c r="C104" s="10" t="s">
        <v>110</v>
      </c>
      <c r="D104" s="121">
        <f t="shared" si="20"/>
        <v>27.811180341327091</v>
      </c>
      <c r="E104" s="202">
        <f t="shared" si="20"/>
        <v>1.083960747425326E-3</v>
      </c>
      <c r="F104" s="121">
        <f t="shared" si="21"/>
        <v>12.833426774996813</v>
      </c>
      <c r="G104" s="121">
        <f t="shared" ref="G104:O104" si="36">G47</f>
        <v>29.017967451535803</v>
      </c>
      <c r="H104" s="202">
        <f t="shared" si="36"/>
        <v>1.0714087330051004E-3</v>
      </c>
      <c r="I104" s="121">
        <f t="shared" si="36"/>
        <v>12.808969327001003</v>
      </c>
      <c r="J104" s="121">
        <f t="shared" si="36"/>
        <v>30.277119657777558</v>
      </c>
      <c r="K104" s="202">
        <f t="shared" si="36"/>
        <v>1.0598031901005141E-3</v>
      </c>
      <c r="L104" s="121">
        <f t="shared" si="36"/>
        <v>14.79383159736037</v>
      </c>
      <c r="M104" s="121">
        <f t="shared" si="36"/>
        <v>31.590909194532948</v>
      </c>
      <c r="N104" s="202">
        <f t="shared" si="36"/>
        <v>1.0492560219531881E-3</v>
      </c>
      <c r="O104" s="121">
        <f t="shared" si="36"/>
        <v>16.393615633447148</v>
      </c>
      <c r="P104" s="121">
        <v>27.811180341327091</v>
      </c>
      <c r="Q104" s="121">
        <v>1.083960747425326E-3</v>
      </c>
      <c r="R104" s="121">
        <v>13.577700709391301</v>
      </c>
      <c r="S104" s="11"/>
    </row>
    <row r="105" spans="2:19">
      <c r="B105" s="68">
        <v>16</v>
      </c>
      <c r="C105" s="65" t="s">
        <v>111</v>
      </c>
      <c r="D105" s="121">
        <f t="shared" si="20"/>
        <v>15.168212673689592</v>
      </c>
      <c r="E105" s="202">
        <f t="shared" si="20"/>
        <v>5.9119199347489135E-4</v>
      </c>
      <c r="F105" s="121">
        <f t="shared" si="21"/>
        <v>6.9993486168622363</v>
      </c>
      <c r="G105" s="121">
        <f t="shared" ref="G105:O105" si="37">G48</f>
        <v>15.764169893435076</v>
      </c>
      <c r="H105" s="202">
        <f t="shared" si="37"/>
        <v>5.820486676267366E-4</v>
      </c>
      <c r="I105" s="121">
        <f t="shared" si="37"/>
        <v>6.9585428051734759</v>
      </c>
      <c r="J105" s="121">
        <f t="shared" si="37"/>
        <v>16.38354219941434</v>
      </c>
      <c r="K105" s="202">
        <f t="shared" si="37"/>
        <v>5.7348025454017834E-4</v>
      </c>
      <c r="L105" s="121">
        <f t="shared" si="37"/>
        <v>8.0052319046842264</v>
      </c>
      <c r="M105" s="121">
        <f t="shared" si="37"/>
        <v>17.0272495675001</v>
      </c>
      <c r="N105" s="202">
        <f t="shared" si="37"/>
        <v>5.6554067614778046E-4</v>
      </c>
      <c r="O105" s="121">
        <f t="shared" si="37"/>
        <v>8.8360288393561923</v>
      </c>
      <c r="P105" s="121">
        <v>15.168212673689592</v>
      </c>
      <c r="Q105" s="121">
        <v>5.9119199347489135E-4</v>
      </c>
      <c r="R105" s="121">
        <v>7.4052754846120212</v>
      </c>
      <c r="S105" s="11"/>
    </row>
    <row r="106" spans="2:19">
      <c r="B106" s="68">
        <v>17</v>
      </c>
      <c r="C106" s="65" t="s">
        <v>112</v>
      </c>
      <c r="D106" s="121">
        <f t="shared" si="20"/>
        <v>10.621618110528988</v>
      </c>
      <c r="E106" s="202">
        <f t="shared" si="20"/>
        <v>4.1398520180197375E-4</v>
      </c>
      <c r="F106" s="121">
        <f t="shared" si="21"/>
        <v>4.901329486217314</v>
      </c>
      <c r="G106" s="121">
        <f t="shared" ref="G106:O106" si="38">G49</f>
        <v>11.03894018627553</v>
      </c>
      <c r="H106" s="202">
        <f t="shared" si="38"/>
        <v>4.0758254134958677E-4</v>
      </c>
      <c r="I106" s="121">
        <f t="shared" si="38"/>
        <v>4.8727550089356253</v>
      </c>
      <c r="J106" s="121">
        <f t="shared" si="38"/>
        <v>11.472658795308536</v>
      </c>
      <c r="K106" s="202">
        <f t="shared" si="38"/>
        <v>4.0158246648403943E-4</v>
      </c>
      <c r="L106" s="121">
        <f t="shared" si="38"/>
        <v>5.6057043771061323</v>
      </c>
      <c r="M106" s="121">
        <f t="shared" si="38"/>
        <v>11.923418155414312</v>
      </c>
      <c r="N106" s="202">
        <f t="shared" si="38"/>
        <v>3.9602273631299977E-4</v>
      </c>
      <c r="O106" s="121">
        <f t="shared" si="38"/>
        <v>6.1874741582478689</v>
      </c>
      <c r="P106" s="121">
        <v>10.621618110528988</v>
      </c>
      <c r="Q106" s="121">
        <v>4.1398520180197375E-4</v>
      </c>
      <c r="R106" s="121">
        <v>5.1855818409802596</v>
      </c>
      <c r="S106" s="31"/>
    </row>
    <row r="107" spans="2:19">
      <c r="B107" s="68">
        <v>18</v>
      </c>
      <c r="C107" s="65" t="s">
        <v>167</v>
      </c>
      <c r="D107" s="121">
        <f t="shared" si="20"/>
        <v>20</v>
      </c>
      <c r="E107" s="202">
        <f t="shared" si="20"/>
        <v>7.7951437811833745E-4</v>
      </c>
      <c r="F107" s="121">
        <f t="shared" si="21"/>
        <v>9.2289695133338085</v>
      </c>
      <c r="G107" s="121">
        <f t="shared" ref="G107:O107" si="39">G50</f>
        <v>20</v>
      </c>
      <c r="H107" s="202">
        <f t="shared" si="39"/>
        <v>7.3844505807962456E-4</v>
      </c>
      <c r="I107" s="121">
        <f t="shared" si="39"/>
        <v>8.8283022223343757</v>
      </c>
      <c r="J107" s="121">
        <f t="shared" si="39"/>
        <v>20</v>
      </c>
      <c r="K107" s="202">
        <f t="shared" si="39"/>
        <v>7.0006870011379884E-4</v>
      </c>
      <c r="L107" s="121">
        <f t="shared" si="39"/>
        <v>9.7722846588943231</v>
      </c>
      <c r="M107" s="121">
        <f t="shared" si="39"/>
        <v>20</v>
      </c>
      <c r="N107" s="202">
        <f t="shared" si="39"/>
        <v>6.6427719157558787E-4</v>
      </c>
      <c r="O107" s="121">
        <f t="shared" si="39"/>
        <v>10.378691877778682</v>
      </c>
      <c r="P107" s="121">
        <v>20</v>
      </c>
      <c r="Q107" s="121">
        <v>7.7951437811833745E-4</v>
      </c>
      <c r="R107" s="121">
        <v>9.7642031317994764</v>
      </c>
      <c r="S107" s="31"/>
    </row>
    <row r="108" spans="2:19">
      <c r="B108" s="68">
        <v>19</v>
      </c>
      <c r="C108" s="65" t="s">
        <v>168</v>
      </c>
      <c r="D108" s="121">
        <f t="shared" si="20"/>
        <v>20</v>
      </c>
      <c r="E108" s="202">
        <f t="shared" si="20"/>
        <v>7.7951437811833745E-4</v>
      </c>
      <c r="F108" s="121">
        <f t="shared" si="21"/>
        <v>9.2289695133338085</v>
      </c>
      <c r="G108" s="121">
        <f t="shared" ref="G108:O108" si="40">G51</f>
        <v>20</v>
      </c>
      <c r="H108" s="202">
        <f t="shared" si="40"/>
        <v>7.3844505807962456E-4</v>
      </c>
      <c r="I108" s="121">
        <f t="shared" si="40"/>
        <v>8.8283022223343757</v>
      </c>
      <c r="J108" s="121">
        <f t="shared" si="40"/>
        <v>20</v>
      </c>
      <c r="K108" s="202">
        <f t="shared" si="40"/>
        <v>7.0006870011379884E-4</v>
      </c>
      <c r="L108" s="121">
        <f t="shared" si="40"/>
        <v>9.7722846588943231</v>
      </c>
      <c r="M108" s="121">
        <f t="shared" si="40"/>
        <v>20</v>
      </c>
      <c r="N108" s="202">
        <f t="shared" si="40"/>
        <v>6.6427719157558787E-4</v>
      </c>
      <c r="O108" s="121">
        <f t="shared" si="40"/>
        <v>10.378691877778682</v>
      </c>
      <c r="P108" s="121">
        <v>20</v>
      </c>
      <c r="Q108" s="121">
        <v>7.7951437811833745E-4</v>
      </c>
      <c r="R108" s="121">
        <v>9.7642031317994764</v>
      </c>
      <c r="S108" s="31"/>
    </row>
    <row r="109" spans="2:19">
      <c r="B109" s="56"/>
      <c r="C109" s="55" t="s">
        <v>191</v>
      </c>
      <c r="D109" s="126">
        <f t="shared" si="20"/>
        <v>25656.999487652574</v>
      </c>
      <c r="E109" s="201">
        <f t="shared" si="20"/>
        <v>1</v>
      </c>
      <c r="F109" s="126">
        <f>F52</f>
        <v>11839.383303758337</v>
      </c>
      <c r="G109" s="126">
        <f t="shared" ref="G109:O109" si="41">G52</f>
        <v>27083.937770551718</v>
      </c>
      <c r="H109" s="201">
        <f t="shared" si="41"/>
        <v>1.0000000000000002</v>
      </c>
      <c r="I109" s="126">
        <f t="shared" si="41"/>
        <v>11955.259400466382</v>
      </c>
      <c r="J109" s="126">
        <f t="shared" si="41"/>
        <v>28568.624760325554</v>
      </c>
      <c r="K109" s="201">
        <f t="shared" si="41"/>
        <v>1</v>
      </c>
      <c r="L109" s="126">
        <f t="shared" si="41"/>
        <v>13959.036673551898</v>
      </c>
      <c r="M109" s="126">
        <f t="shared" si="41"/>
        <v>30107.913162820383</v>
      </c>
      <c r="N109" s="201">
        <f t="shared" si="41"/>
        <v>1</v>
      </c>
      <c r="O109" s="126">
        <f t="shared" si="41"/>
        <v>15624.037689991488</v>
      </c>
      <c r="P109" s="126">
        <v>25656.999487652574</v>
      </c>
      <c r="Q109" s="126">
        <v>1</v>
      </c>
      <c r="R109" s="126">
        <v>12526.007737495742</v>
      </c>
      <c r="S109" s="31"/>
    </row>
    <row r="113" spans="2:19" ht="15.6">
      <c r="B113" s="422" t="s">
        <v>198</v>
      </c>
      <c r="C113" s="422"/>
      <c r="D113" s="422"/>
      <c r="E113" s="422"/>
      <c r="F113" s="422"/>
      <c r="G113" s="422"/>
      <c r="H113" s="422"/>
      <c r="I113" s="422"/>
      <c r="J113" s="422"/>
      <c r="K113" s="422"/>
      <c r="L113" s="422"/>
      <c r="M113" s="422"/>
      <c r="N113" s="422"/>
      <c r="O113" s="422"/>
      <c r="P113" s="422"/>
      <c r="Q113" s="422"/>
      <c r="R113" s="422"/>
      <c r="S113" s="422"/>
    </row>
    <row r="114" spans="2:19">
      <c r="B114" s="403" t="s">
        <v>2</v>
      </c>
      <c r="C114" s="406" t="s">
        <v>193</v>
      </c>
      <c r="D114" s="425" t="s">
        <v>24</v>
      </c>
      <c r="E114" s="426"/>
      <c r="F114" s="426"/>
      <c r="G114" s="426"/>
      <c r="H114" s="426"/>
      <c r="I114" s="427"/>
      <c r="J114" s="425" t="s">
        <v>24</v>
      </c>
      <c r="K114" s="426"/>
      <c r="L114" s="426"/>
      <c r="M114" s="426"/>
      <c r="N114" s="426"/>
      <c r="O114" s="426"/>
      <c r="P114" s="426"/>
      <c r="Q114" s="426"/>
      <c r="R114" s="427"/>
      <c r="S114" s="428" t="s">
        <v>25</v>
      </c>
    </row>
    <row r="115" spans="2:19">
      <c r="B115" s="404"/>
      <c r="C115" s="406"/>
      <c r="D115" s="430" t="s">
        <v>26</v>
      </c>
      <c r="E115" s="431"/>
      <c r="F115" s="432"/>
      <c r="G115" s="430" t="s">
        <v>27</v>
      </c>
      <c r="H115" s="431"/>
      <c r="I115" s="432"/>
      <c r="J115" s="430" t="s">
        <v>28</v>
      </c>
      <c r="K115" s="431"/>
      <c r="L115" s="432"/>
      <c r="M115" s="430" t="s">
        <v>29</v>
      </c>
      <c r="N115" s="431"/>
      <c r="O115" s="432"/>
      <c r="P115" s="430" t="s">
        <v>30</v>
      </c>
      <c r="Q115" s="431"/>
      <c r="R115" s="432"/>
      <c r="S115" s="428"/>
    </row>
    <row r="116" spans="2:19" ht="41.45">
      <c r="B116" s="423"/>
      <c r="C116" s="424"/>
      <c r="D116" s="45" t="s">
        <v>188</v>
      </c>
      <c r="E116" s="45" t="s">
        <v>189</v>
      </c>
      <c r="F116" s="45" t="s">
        <v>190</v>
      </c>
      <c r="G116" s="45" t="s">
        <v>188</v>
      </c>
      <c r="H116" s="45" t="s">
        <v>189</v>
      </c>
      <c r="I116" s="45" t="s">
        <v>190</v>
      </c>
      <c r="J116" s="45" t="s">
        <v>188</v>
      </c>
      <c r="K116" s="45" t="s">
        <v>189</v>
      </c>
      <c r="L116" s="45" t="s">
        <v>190</v>
      </c>
      <c r="M116" s="45" t="s">
        <v>188</v>
      </c>
      <c r="N116" s="45" t="s">
        <v>189</v>
      </c>
      <c r="O116" s="45" t="s">
        <v>190</v>
      </c>
      <c r="P116" s="45" t="s">
        <v>188</v>
      </c>
      <c r="Q116" s="45" t="s">
        <v>189</v>
      </c>
      <c r="R116" s="45" t="s">
        <v>190</v>
      </c>
      <c r="S116" s="429"/>
    </row>
    <row r="117" spans="2:19">
      <c r="B117" s="68">
        <v>1</v>
      </c>
      <c r="C117" s="10" t="s">
        <v>96</v>
      </c>
      <c r="D117" s="121">
        <f t="shared" ref="D117:E136" si="42">D60</f>
        <v>22653.880596806121</v>
      </c>
      <c r="E117" s="202">
        <f t="shared" si="42"/>
        <v>0.84885745892259168</v>
      </c>
      <c r="F117" s="121">
        <f t="shared" ref="F117:F135" si="43">E60*$F$136</f>
        <v>10632.795098495357</v>
      </c>
      <c r="G117" s="121">
        <f t="shared" ref="G117:R117" si="44">G60</f>
        <v>24068.305225108124</v>
      </c>
      <c r="H117" s="202">
        <f t="shared" si="44"/>
        <v>0.84948815036324055</v>
      </c>
      <c r="I117" s="121">
        <f t="shared" si="44"/>
        <v>10155.851195214931</v>
      </c>
      <c r="J117" s="121">
        <f t="shared" si="44"/>
        <v>25571.041302770787</v>
      </c>
      <c r="K117" s="202">
        <f t="shared" si="44"/>
        <v>0.85004693576266244</v>
      </c>
      <c r="L117" s="121">
        <f t="shared" si="44"/>
        <v>11865.836350551419</v>
      </c>
      <c r="M117" s="121">
        <f t="shared" si="44"/>
        <v>27167.602670498047</v>
      </c>
      <c r="N117" s="202">
        <f t="shared" si="44"/>
        <v>0.85053581536862</v>
      </c>
      <c r="O117" s="121">
        <f t="shared" si="44"/>
        <v>13288.80363600696</v>
      </c>
      <c r="P117" s="121">
        <f t="shared" si="44"/>
        <v>28863.84743284103</v>
      </c>
      <c r="Q117" s="202">
        <f t="shared" si="44"/>
        <v>0.85095665273110599</v>
      </c>
      <c r="R117" s="121">
        <f t="shared" si="44"/>
        <v>14407.499532262769</v>
      </c>
      <c r="S117" s="11"/>
    </row>
    <row r="118" spans="2:19">
      <c r="B118" s="68">
        <v>2</v>
      </c>
      <c r="C118" s="10" t="s">
        <v>97</v>
      </c>
      <c r="D118" s="121">
        <f t="shared" si="42"/>
        <v>910.1462373682624</v>
      </c>
      <c r="E118" s="202">
        <f t="shared" si="42"/>
        <v>3.4103844548792436E-2</v>
      </c>
      <c r="F118" s="121">
        <f t="shared" si="43"/>
        <v>427.18502069652601</v>
      </c>
      <c r="G118" s="121">
        <f t="shared" ref="G118:R118" si="45">G61</f>
        <v>972.57001312277851</v>
      </c>
      <c r="H118" s="202">
        <f t="shared" si="45"/>
        <v>3.4326750214408175E-2</v>
      </c>
      <c r="I118" s="121">
        <f t="shared" si="45"/>
        <v>410.38520318826477</v>
      </c>
      <c r="J118" s="121">
        <f t="shared" si="45"/>
        <v>1039.275219288651</v>
      </c>
      <c r="K118" s="202">
        <f t="shared" si="45"/>
        <v>3.4548171312627038E-2</v>
      </c>
      <c r="L118" s="121">
        <f t="shared" si="45"/>
        <v>482.25919035711445</v>
      </c>
      <c r="M118" s="121">
        <f t="shared" si="45"/>
        <v>1110.5555043378881</v>
      </c>
      <c r="N118" s="202">
        <f t="shared" si="45"/>
        <v>3.4768148034639172E-2</v>
      </c>
      <c r="O118" s="121">
        <f t="shared" si="45"/>
        <v>543.21885530440591</v>
      </c>
      <c r="P118" s="121">
        <f t="shared" si="45"/>
        <v>1186.7246570733751</v>
      </c>
      <c r="Q118" s="202">
        <f t="shared" si="45"/>
        <v>3.4986716315151697E-2</v>
      </c>
      <c r="R118" s="121">
        <f t="shared" si="45"/>
        <v>592.35813872324218</v>
      </c>
      <c r="S118" s="11"/>
    </row>
    <row r="119" spans="2:19">
      <c r="B119" s="68">
        <v>3</v>
      </c>
      <c r="C119" s="10" t="s">
        <v>98</v>
      </c>
      <c r="D119" s="121">
        <f t="shared" si="42"/>
        <v>1655.0274949930335</v>
      </c>
      <c r="E119" s="202">
        <f t="shared" si="42"/>
        <v>6.2015089549155543E-2</v>
      </c>
      <c r="F119" s="121">
        <f t="shared" si="43"/>
        <v>776.8014915342136</v>
      </c>
      <c r="G119" s="121">
        <f t="shared" ref="G119:R119" si="46">G62</f>
        <v>1778.4325159970329</v>
      </c>
      <c r="H119" s="202">
        <f t="shared" si="46"/>
        <v>6.2769577435146426E-2</v>
      </c>
      <c r="I119" s="121">
        <f t="shared" si="46"/>
        <v>750.42658069483684</v>
      </c>
      <c r="J119" s="121">
        <f t="shared" si="46"/>
        <v>1911.0390754981686</v>
      </c>
      <c r="K119" s="202">
        <f t="shared" si="46"/>
        <v>6.3527835687860995E-2</v>
      </c>
      <c r="L119" s="121">
        <f t="shared" si="46"/>
        <v>886.78738815823067</v>
      </c>
      <c r="M119" s="121">
        <f t="shared" si="46"/>
        <v>2053.5332745158757</v>
      </c>
      <c r="N119" s="202">
        <f t="shared" si="46"/>
        <v>6.4289941928649869E-2</v>
      </c>
      <c r="O119" s="121">
        <f t="shared" si="46"/>
        <v>1004.4684757805896</v>
      </c>
      <c r="P119" s="121">
        <f t="shared" si="46"/>
        <v>2206.6523723198129</v>
      </c>
      <c r="Q119" s="202">
        <f t="shared" si="46"/>
        <v>6.505596736053687E-2</v>
      </c>
      <c r="R119" s="121">
        <f t="shared" si="46"/>
        <v>1101.4589477732336</v>
      </c>
      <c r="S119" s="11"/>
    </row>
    <row r="120" spans="2:19">
      <c r="B120" s="68">
        <v>4</v>
      </c>
      <c r="C120" s="10" t="s">
        <v>99</v>
      </c>
      <c r="D120" s="121">
        <f t="shared" si="42"/>
        <v>811.84709635118861</v>
      </c>
      <c r="E120" s="202">
        <f t="shared" si="42"/>
        <v>3.0420503908699593E-2</v>
      </c>
      <c r="F120" s="121">
        <f t="shared" si="43"/>
        <v>381.04746733889056</v>
      </c>
      <c r="G120" s="121">
        <f t="shared" ref="G120:R120" si="47">G63</f>
        <v>823.52164456685011</v>
      </c>
      <c r="H120" s="202">
        <f t="shared" si="47"/>
        <v>2.9066104658561177E-2</v>
      </c>
      <c r="I120" s="121">
        <f t="shared" si="47"/>
        <v>347.49282095420324</v>
      </c>
      <c r="J120" s="121">
        <f t="shared" si="47"/>
        <v>835.36407547452643</v>
      </c>
      <c r="K120" s="202">
        <f t="shared" si="47"/>
        <v>2.7769642393342304E-2</v>
      </c>
      <c r="L120" s="121">
        <f t="shared" si="47"/>
        <v>387.63745658008673</v>
      </c>
      <c r="M120" s="121">
        <f t="shared" si="47"/>
        <v>847.37680326599241</v>
      </c>
      <c r="N120" s="202">
        <f t="shared" si="47"/>
        <v>2.6528815554010859E-2</v>
      </c>
      <c r="O120" s="121">
        <f t="shared" si="47"/>
        <v>414.48721408669809</v>
      </c>
      <c r="P120" s="121">
        <f t="shared" si="47"/>
        <v>859.56227684965677</v>
      </c>
      <c r="Q120" s="202">
        <f t="shared" si="47"/>
        <v>2.5341397733750302E-2</v>
      </c>
      <c r="R120" s="121">
        <f t="shared" si="47"/>
        <v>429.05378884353382</v>
      </c>
      <c r="S120" s="11"/>
    </row>
    <row r="121" spans="2:19">
      <c r="B121" s="68">
        <v>5</v>
      </c>
      <c r="C121" s="10" t="s">
        <v>100</v>
      </c>
      <c r="D121" s="121">
        <f t="shared" si="42"/>
        <v>506.54351686222435</v>
      </c>
      <c r="E121" s="202">
        <f t="shared" si="42"/>
        <v>1.8980555703026102E-2</v>
      </c>
      <c r="F121" s="121">
        <f t="shared" si="43"/>
        <v>237.75058759807388</v>
      </c>
      <c r="G121" s="121">
        <f t="shared" ref="G121:R121" si="48">G64</f>
        <v>534.41338571650533</v>
      </c>
      <c r="H121" s="202">
        <f t="shared" si="48"/>
        <v>1.8862060885287437E-2</v>
      </c>
      <c r="I121" s="121">
        <f t="shared" si="48"/>
        <v>225.5008307110019</v>
      </c>
      <c r="J121" s="121">
        <f t="shared" si="48"/>
        <v>563.81664620269635</v>
      </c>
      <c r="K121" s="202">
        <f t="shared" si="48"/>
        <v>1.8742710035224538E-2</v>
      </c>
      <c r="L121" s="121">
        <f t="shared" si="48"/>
        <v>261.63017674344849</v>
      </c>
      <c r="M121" s="121">
        <f t="shared" si="48"/>
        <v>594.83766505783183</v>
      </c>
      <c r="N121" s="202">
        <f t="shared" si="48"/>
        <v>1.8622575742074269E-2</v>
      </c>
      <c r="O121" s="121">
        <f t="shared" si="48"/>
        <v>290.95982527888958</v>
      </c>
      <c r="P121" s="121">
        <f t="shared" si="48"/>
        <v>627.56545085092807</v>
      </c>
      <c r="Q121" s="202">
        <f t="shared" si="48"/>
        <v>1.8501725962498588E-2</v>
      </c>
      <c r="R121" s="121">
        <f t="shared" si="48"/>
        <v>313.25168831482637</v>
      </c>
      <c r="S121" s="11"/>
    </row>
    <row r="122" spans="2:19">
      <c r="B122" s="68">
        <v>6</v>
      </c>
      <c r="C122" s="10" t="s">
        <v>101</v>
      </c>
      <c r="D122" s="121">
        <f t="shared" si="42"/>
        <v>9.4507539347799021</v>
      </c>
      <c r="E122" s="202">
        <f t="shared" si="42"/>
        <v>3.5412665550603239E-4</v>
      </c>
      <c r="F122" s="121">
        <f t="shared" si="43"/>
        <v>4.4357932269220504</v>
      </c>
      <c r="G122" s="121">
        <f t="shared" ref="G122:R122" si="49">G65</f>
        <v>9.647068090235507</v>
      </c>
      <c r="H122" s="202">
        <f t="shared" si="49"/>
        <v>3.4049219302127184E-4</v>
      </c>
      <c r="I122" s="121">
        <f t="shared" si="49"/>
        <v>4.0706724914029744</v>
      </c>
      <c r="J122" s="121">
        <f t="shared" si="49"/>
        <v>9.8474601476128232</v>
      </c>
      <c r="K122" s="202">
        <f t="shared" si="49"/>
        <v>3.2735480829308993E-4</v>
      </c>
      <c r="L122" s="121">
        <f t="shared" si="49"/>
        <v>4.5695577742267934</v>
      </c>
      <c r="M122" s="121">
        <f t="shared" si="49"/>
        <v>10.052014814425908</v>
      </c>
      <c r="N122" s="202">
        <f t="shared" si="49"/>
        <v>3.1469830886364519E-4</v>
      </c>
      <c r="O122" s="121">
        <f t="shared" si="49"/>
        <v>4.9168582386621749</v>
      </c>
      <c r="P122" s="121">
        <f t="shared" si="49"/>
        <v>10.260818557761038</v>
      </c>
      <c r="Q122" s="202">
        <f t="shared" si="49"/>
        <v>3.025068586060675E-4</v>
      </c>
      <c r="R122" s="121">
        <f t="shared" si="49"/>
        <v>5.1217267176714802</v>
      </c>
      <c r="S122" s="11"/>
    </row>
    <row r="123" spans="2:19">
      <c r="B123" s="68">
        <v>7</v>
      </c>
      <c r="C123" s="10" t="s">
        <v>102</v>
      </c>
      <c r="D123" s="121">
        <f t="shared" si="42"/>
        <v>4.7613692735785582</v>
      </c>
      <c r="E123" s="202">
        <f t="shared" si="42"/>
        <v>1.7841198576511557E-4</v>
      </c>
      <c r="F123" s="121">
        <f t="shared" si="43"/>
        <v>2.2347899141558178</v>
      </c>
      <c r="G123" s="121">
        <f t="shared" ref="G123:R123" si="50">G66</f>
        <v>4.9000987520471337</v>
      </c>
      <c r="H123" s="202">
        <f t="shared" si="50"/>
        <v>1.7294843930811265E-4</v>
      </c>
      <c r="I123" s="121">
        <f t="shared" si="50"/>
        <v>2.0676434548343035</v>
      </c>
      <c r="J123" s="121">
        <f t="shared" si="50"/>
        <v>5.0428703173798723</v>
      </c>
      <c r="K123" s="202">
        <f t="shared" si="50"/>
        <v>1.6763793112612729E-4</v>
      </c>
      <c r="L123" s="121">
        <f t="shared" si="50"/>
        <v>2.3400640284679781</v>
      </c>
      <c r="M123" s="121">
        <f t="shared" si="50"/>
        <v>5.189801741707095</v>
      </c>
      <c r="N123" s="202">
        <f t="shared" si="50"/>
        <v>1.6247706172387889E-4</v>
      </c>
      <c r="O123" s="121">
        <f t="shared" si="50"/>
        <v>2.5385477361329571</v>
      </c>
      <c r="P123" s="121">
        <f t="shared" si="50"/>
        <v>5.3410142286229032</v>
      </c>
      <c r="Q123" s="202">
        <f t="shared" si="50"/>
        <v>1.5746243118673525E-4</v>
      </c>
      <c r="R123" s="121">
        <f t="shared" si="50"/>
        <v>2.6659876227428883</v>
      </c>
      <c r="S123" s="11"/>
    </row>
    <row r="124" spans="2:19">
      <c r="B124" s="68">
        <v>8</v>
      </c>
      <c r="C124" s="10" t="s">
        <v>103</v>
      </c>
      <c r="D124" s="121">
        <f t="shared" si="42"/>
        <v>5.2546953107476844</v>
      </c>
      <c r="E124" s="202">
        <f t="shared" si="42"/>
        <v>1.9689727284616322E-4</v>
      </c>
      <c r="F124" s="121">
        <f t="shared" si="43"/>
        <v>2.4663367631628508</v>
      </c>
      <c r="G124" s="121">
        <f t="shared" ref="G124:R124" si="51">G67</f>
        <v>5.3597556735183662</v>
      </c>
      <c r="H124" s="202">
        <f t="shared" si="51"/>
        <v>1.8917197911991941E-4</v>
      </c>
      <c r="I124" s="121">
        <f t="shared" si="51"/>
        <v>2.2616000816782469</v>
      </c>
      <c r="J124" s="121">
        <f t="shared" si="51"/>
        <v>5.4669165728897013</v>
      </c>
      <c r="K124" s="202">
        <f t="shared" si="51"/>
        <v>1.8173431522913616E-4</v>
      </c>
      <c r="L124" s="121">
        <f t="shared" si="51"/>
        <v>2.5368359711263531</v>
      </c>
      <c r="M124" s="121">
        <f t="shared" si="51"/>
        <v>5.5762200061848892</v>
      </c>
      <c r="N124" s="202">
        <f t="shared" si="51"/>
        <v>1.7457465375793241E-4</v>
      </c>
      <c r="O124" s="121">
        <f t="shared" si="51"/>
        <v>2.7275609700311501</v>
      </c>
      <c r="P124" s="121">
        <f t="shared" si="51"/>
        <v>5.6877088104055016</v>
      </c>
      <c r="Q124" s="202">
        <f t="shared" si="51"/>
        <v>1.6768359319641442E-4</v>
      </c>
      <c r="R124" s="121">
        <f t="shared" si="51"/>
        <v>2.8390415455261535</v>
      </c>
      <c r="S124" s="11"/>
    </row>
    <row r="125" spans="2:19">
      <c r="B125" s="68">
        <v>9</v>
      </c>
      <c r="C125" s="10" t="s">
        <v>104</v>
      </c>
      <c r="D125" s="121">
        <f t="shared" si="42"/>
        <v>7.7174328814862889</v>
      </c>
      <c r="E125" s="202">
        <f t="shared" si="42"/>
        <v>2.8917784911904694E-4</v>
      </c>
      <c r="F125" s="121">
        <f t="shared" si="43"/>
        <v>3.622243975577558</v>
      </c>
      <c r="G125" s="121">
        <f t="shared" ref="G125:R125" si="52">G68</f>
        <v>9.1783141991477848</v>
      </c>
      <c r="H125" s="202">
        <f t="shared" si="52"/>
        <v>3.2394757668076287E-4</v>
      </c>
      <c r="I125" s="121">
        <f t="shared" si="52"/>
        <v>3.8728773113709947</v>
      </c>
      <c r="J125" s="121">
        <f t="shared" si="52"/>
        <v>10.915734912365561</v>
      </c>
      <c r="K125" s="202">
        <f t="shared" si="52"/>
        <v>3.6286699880495025E-4</v>
      </c>
      <c r="L125" s="121">
        <f t="shared" si="52"/>
        <v>5.0652737439400131</v>
      </c>
      <c r="M125" s="121">
        <f t="shared" si="52"/>
        <v>12.982042899348542</v>
      </c>
      <c r="N125" s="202">
        <f t="shared" si="52"/>
        <v>4.0642866345134884E-4</v>
      </c>
      <c r="O125" s="121">
        <f t="shared" si="52"/>
        <v>6.3500567560567402</v>
      </c>
      <c r="P125" s="121">
        <f t="shared" si="52"/>
        <v>15.439495296794711</v>
      </c>
      <c r="Q125" s="202">
        <f t="shared" si="52"/>
        <v>4.5518329696648104E-4</v>
      </c>
      <c r="R125" s="121">
        <f t="shared" si="52"/>
        <v>7.7066829633338347</v>
      </c>
      <c r="S125" s="11"/>
    </row>
    <row r="126" spans="2:19">
      <c r="B126" s="68">
        <v>10</v>
      </c>
      <c r="C126" s="10" t="s">
        <v>105</v>
      </c>
      <c r="D126" s="121">
        <f t="shared" si="42"/>
        <v>13.595734156852755</v>
      </c>
      <c r="E126" s="202">
        <f t="shared" si="42"/>
        <v>5.0944209312201512E-4</v>
      </c>
      <c r="F126" s="121">
        <f t="shared" si="43"/>
        <v>6.3812756002523878</v>
      </c>
      <c r="G126" s="121">
        <f t="shared" ref="G126:R126" si="53">G69</f>
        <v>14.683392889400977</v>
      </c>
      <c r="H126" s="202">
        <f t="shared" si="53"/>
        <v>5.1824871547921625E-4</v>
      </c>
      <c r="I126" s="121">
        <f t="shared" si="53"/>
        <v>6.1957978275125276</v>
      </c>
      <c r="J126" s="121">
        <f t="shared" si="53"/>
        <v>15.858064320553057</v>
      </c>
      <c r="K126" s="202">
        <f t="shared" si="53"/>
        <v>5.2716269248498219E-4</v>
      </c>
      <c r="L126" s="121">
        <f t="shared" si="53"/>
        <v>7.3586833573262282</v>
      </c>
      <c r="M126" s="121">
        <f t="shared" si="53"/>
        <v>17.126709466197301</v>
      </c>
      <c r="N126" s="202">
        <f t="shared" si="53"/>
        <v>5.3618569062157664E-4</v>
      </c>
      <c r="O126" s="121">
        <f t="shared" si="53"/>
        <v>8.3773854391056286</v>
      </c>
      <c r="P126" s="121">
        <f t="shared" si="53"/>
        <v>18.496846223493087</v>
      </c>
      <c r="Q126" s="202">
        <f t="shared" si="53"/>
        <v>5.4531934403577898E-4</v>
      </c>
      <c r="R126" s="121">
        <f t="shared" si="53"/>
        <v>9.2327713390730874</v>
      </c>
      <c r="S126" s="11"/>
    </row>
    <row r="127" spans="2:19">
      <c r="B127" s="68">
        <v>11</v>
      </c>
      <c r="C127" s="10" t="s">
        <v>106</v>
      </c>
      <c r="D127" s="121">
        <f t="shared" si="42"/>
        <v>8.1047084000753422</v>
      </c>
      <c r="E127" s="202">
        <f t="shared" si="42"/>
        <v>3.0368934577886339E-4</v>
      </c>
      <c r="F127" s="121">
        <f t="shared" si="43"/>
        <v>3.8040150950210627</v>
      </c>
      <c r="G127" s="121">
        <f t="shared" ref="G127:R127" si="54">G70</f>
        <v>8.1047084000753422</v>
      </c>
      <c r="H127" s="202">
        <f t="shared" si="54"/>
        <v>2.8605477966230552E-4</v>
      </c>
      <c r="I127" s="121">
        <f t="shared" si="54"/>
        <v>3.4198590936061177</v>
      </c>
      <c r="J127" s="121">
        <f t="shared" si="54"/>
        <v>8.1047084000753422</v>
      </c>
      <c r="K127" s="202">
        <f t="shared" si="54"/>
        <v>2.6942127460360585E-4</v>
      </c>
      <c r="L127" s="121">
        <f t="shared" si="54"/>
        <v>3.7608614528268309</v>
      </c>
      <c r="M127" s="121">
        <f t="shared" si="54"/>
        <v>8.1047084000753422</v>
      </c>
      <c r="N127" s="202">
        <f t="shared" si="54"/>
        <v>2.5373400998935519E-4</v>
      </c>
      <c r="O127" s="121">
        <f t="shared" si="54"/>
        <v>3.9643497353063624</v>
      </c>
      <c r="P127" s="121">
        <f t="shared" si="54"/>
        <v>8.1047084000753422</v>
      </c>
      <c r="Q127" s="202">
        <f t="shared" si="54"/>
        <v>2.3894096403942057E-4</v>
      </c>
      <c r="R127" s="121">
        <f t="shared" si="54"/>
        <v>4.0454961090999033</v>
      </c>
      <c r="S127" s="11"/>
    </row>
    <row r="128" spans="2:19">
      <c r="B128" s="68">
        <v>12</v>
      </c>
      <c r="C128" s="10" t="s">
        <v>107</v>
      </c>
      <c r="D128" s="121">
        <f t="shared" si="42"/>
        <v>5.4362904073447176</v>
      </c>
      <c r="E128" s="202">
        <f t="shared" si="42"/>
        <v>2.0370177380534516E-4</v>
      </c>
      <c r="F128" s="121">
        <f t="shared" si="43"/>
        <v>2.5515699948273611</v>
      </c>
      <c r="G128" s="121">
        <f t="shared" ref="G128:R128" si="55">G71</f>
        <v>5.4362904073447176</v>
      </c>
      <c r="H128" s="202">
        <f t="shared" si="55"/>
        <v>1.9187326402006545E-4</v>
      </c>
      <c r="I128" s="121">
        <f t="shared" si="55"/>
        <v>2.2938946433740557</v>
      </c>
      <c r="J128" s="121">
        <f t="shared" si="55"/>
        <v>5.4362904073447176</v>
      </c>
      <c r="K128" s="202">
        <f t="shared" si="55"/>
        <v>1.8071622301038664E-4</v>
      </c>
      <c r="L128" s="121">
        <f t="shared" si="55"/>
        <v>2.5226243845077705</v>
      </c>
      <c r="M128" s="121">
        <f t="shared" si="55"/>
        <v>5.4362904073447176</v>
      </c>
      <c r="N128" s="202">
        <f t="shared" si="55"/>
        <v>1.7019387946263652E-4</v>
      </c>
      <c r="O128" s="121">
        <f t="shared" si="55"/>
        <v>2.6591155873301013</v>
      </c>
      <c r="P128" s="121">
        <f t="shared" si="55"/>
        <v>5.4362904073447176</v>
      </c>
      <c r="Q128" s="202">
        <f t="shared" si="55"/>
        <v>1.6027133940033252E-4</v>
      </c>
      <c r="R128" s="121">
        <f t="shared" si="55"/>
        <v>2.7135450907333989</v>
      </c>
      <c r="S128" s="11"/>
    </row>
    <row r="129" spans="2:19">
      <c r="B129" s="68">
        <v>13</v>
      </c>
      <c r="C129" s="10" t="s">
        <v>108</v>
      </c>
      <c r="D129" s="121">
        <f t="shared" si="42"/>
        <v>1.5247287308021791</v>
      </c>
      <c r="E129" s="202">
        <f t="shared" si="42"/>
        <v>5.7132699646941769E-5</v>
      </c>
      <c r="F129" s="121">
        <f t="shared" si="43"/>
        <v>0.71564463784161281</v>
      </c>
      <c r="G129" s="121">
        <f t="shared" ref="G129:R129" si="56">G72</f>
        <v>1.7054392350565275</v>
      </c>
      <c r="H129" s="202">
        <f t="shared" si="56"/>
        <v>6.0193287719890174E-5</v>
      </c>
      <c r="I129" s="121">
        <f t="shared" si="56"/>
        <v>0.71962636885819464</v>
      </c>
      <c r="J129" s="121">
        <f t="shared" si="56"/>
        <v>1.9075675073952223</v>
      </c>
      <c r="K129" s="202">
        <f t="shared" si="56"/>
        <v>6.3412431868624231E-5</v>
      </c>
      <c r="L129" s="121">
        <f t="shared" si="56"/>
        <v>0.88517646201323674</v>
      </c>
      <c r="M129" s="121">
        <f t="shared" si="56"/>
        <v>2.1336519768465463</v>
      </c>
      <c r="N129" s="202">
        <f t="shared" si="56"/>
        <v>6.6798217194582394E-5</v>
      </c>
      <c r="O129" s="121">
        <f t="shared" si="56"/>
        <v>1.0436578630723927</v>
      </c>
      <c r="P129" s="121">
        <f t="shared" si="56"/>
        <v>2.3865319264729772</v>
      </c>
      <c r="Q129" s="202">
        <f t="shared" si="56"/>
        <v>7.035913089939272E-5</v>
      </c>
      <c r="R129" s="121">
        <f t="shared" si="56"/>
        <v>1.1912465132859531</v>
      </c>
      <c r="S129" s="11"/>
    </row>
    <row r="130" spans="2:19">
      <c r="B130" s="68">
        <v>14</v>
      </c>
      <c r="C130" s="10" t="s">
        <v>109</v>
      </c>
      <c r="D130" s="121">
        <f t="shared" si="42"/>
        <v>0.60498985597579935</v>
      </c>
      <c r="E130" s="202">
        <f t="shared" si="42"/>
        <v>2.2669411963350998E-5</v>
      </c>
      <c r="F130" s="121">
        <f t="shared" si="43"/>
        <v>0.28395722965741316</v>
      </c>
      <c r="G130" s="121">
        <f t="shared" ref="G130:R130" si="57">G73</f>
        <v>0.63555822495693004</v>
      </c>
      <c r="H130" s="202">
        <f t="shared" si="57"/>
        <v>2.2431956713079346E-5</v>
      </c>
      <c r="I130" s="121">
        <f t="shared" si="57"/>
        <v>0.26817986136489685</v>
      </c>
      <c r="J130" s="121">
        <f t="shared" si="57"/>
        <v>0.66767112426850628</v>
      </c>
      <c r="K130" s="202">
        <f t="shared" si="57"/>
        <v>2.2195099001312773E-5</v>
      </c>
      <c r="L130" s="121">
        <f t="shared" si="57"/>
        <v>0.30982220093244012</v>
      </c>
      <c r="M130" s="121">
        <f t="shared" si="57"/>
        <v>0.70140659451332055</v>
      </c>
      <c r="N130" s="202">
        <f t="shared" si="57"/>
        <v>2.1958927955654526E-5</v>
      </c>
      <c r="O130" s="121">
        <f t="shared" si="57"/>
        <v>0.34308711801095404</v>
      </c>
      <c r="P130" s="121">
        <f t="shared" si="57"/>
        <v>0.73684661945770435</v>
      </c>
      <c r="Q130" s="202">
        <f t="shared" si="57"/>
        <v>2.1723525747178671E-5</v>
      </c>
      <c r="R130" s="121">
        <f t="shared" si="57"/>
        <v>0.36779980042117855</v>
      </c>
      <c r="S130" s="11"/>
    </row>
    <row r="131" spans="2:19">
      <c r="B131" s="68">
        <v>15</v>
      </c>
      <c r="C131" s="10" t="s">
        <v>110</v>
      </c>
      <c r="D131" s="121">
        <f t="shared" si="42"/>
        <v>27.811180341327091</v>
      </c>
      <c r="E131" s="202">
        <f t="shared" si="42"/>
        <v>1.0421052487362898E-3</v>
      </c>
      <c r="F131" s="121">
        <f t="shared" si="43"/>
        <v>13.053418408955691</v>
      </c>
      <c r="G131" s="121">
        <f t="shared" ref="G131:R131" si="58">G74</f>
        <v>29.017967451535803</v>
      </c>
      <c r="H131" s="202">
        <f t="shared" si="58"/>
        <v>1.0241859269754681E-3</v>
      </c>
      <c r="I131" s="121">
        <f t="shared" si="58"/>
        <v>12.24440843129884</v>
      </c>
      <c r="J131" s="121">
        <f t="shared" si="58"/>
        <v>30.277119657777558</v>
      </c>
      <c r="K131" s="202">
        <f t="shared" si="58"/>
        <v>1.0064890390687577E-3</v>
      </c>
      <c r="L131" s="121">
        <f t="shared" si="58"/>
        <v>14.049617407888798</v>
      </c>
      <c r="M131" s="121">
        <f t="shared" si="58"/>
        <v>31.590909194532948</v>
      </c>
      <c r="N131" s="202">
        <f t="shared" si="58"/>
        <v>9.8901622038171321E-4</v>
      </c>
      <c r="O131" s="121">
        <f t="shared" si="58"/>
        <v>15.452426703256815</v>
      </c>
      <c r="P131" s="121">
        <f t="shared" si="58"/>
        <v>32.961706893438418</v>
      </c>
      <c r="Q131" s="202">
        <f t="shared" si="58"/>
        <v>9.7176870933811442E-4</v>
      </c>
      <c r="R131" s="121">
        <f t="shared" si="58"/>
        <v>16.452961711177291</v>
      </c>
      <c r="S131" s="11"/>
    </row>
    <row r="132" spans="2:19">
      <c r="B132" s="68">
        <v>16</v>
      </c>
      <c r="C132" s="65" t="s">
        <v>111</v>
      </c>
      <c r="D132" s="121">
        <f t="shared" si="42"/>
        <v>15.168212673689592</v>
      </c>
      <c r="E132" s="202">
        <f t="shared" si="42"/>
        <v>5.6836401214195868E-4</v>
      </c>
      <c r="F132" s="121">
        <f t="shared" si="43"/>
        <v>7.1193320138042981</v>
      </c>
      <c r="G132" s="121">
        <f t="shared" ref="G132:R132" si="59">G75</f>
        <v>15.764169893435076</v>
      </c>
      <c r="H132" s="202">
        <f t="shared" si="59"/>
        <v>5.5639461937752148E-4</v>
      </c>
      <c r="I132" s="121">
        <f t="shared" si="59"/>
        <v>6.6518420036820283</v>
      </c>
      <c r="J132" s="121">
        <f t="shared" si="59"/>
        <v>16.38354219941434</v>
      </c>
      <c r="K132" s="202">
        <f t="shared" si="59"/>
        <v>5.4463092365508693E-4</v>
      </c>
      <c r="L132" s="121">
        <f t="shared" si="59"/>
        <v>7.6025230368518022</v>
      </c>
      <c r="M132" s="121">
        <f t="shared" si="59"/>
        <v>17.0272495675001</v>
      </c>
      <c r="N132" s="202">
        <f t="shared" si="59"/>
        <v>5.3307190074983473E-4</v>
      </c>
      <c r="O132" s="121">
        <f t="shared" si="59"/>
        <v>8.3287354687908195</v>
      </c>
      <c r="P132" s="121">
        <f t="shared" si="59"/>
        <v>17.696248119304524</v>
      </c>
      <c r="Q132" s="202">
        <f t="shared" si="59"/>
        <v>5.2171631313325216E-4</v>
      </c>
      <c r="R132" s="121">
        <f t="shared" si="59"/>
        <v>8.833149741901563</v>
      </c>
      <c r="S132" s="11"/>
    </row>
    <row r="133" spans="2:19">
      <c r="B133" s="68">
        <v>17</v>
      </c>
      <c r="C133" s="65" t="s">
        <v>112</v>
      </c>
      <c r="D133" s="121">
        <f t="shared" si="42"/>
        <v>10.621618110528988</v>
      </c>
      <c r="E133" s="202">
        <f t="shared" si="42"/>
        <v>3.9799979170990159E-4</v>
      </c>
      <c r="F133" s="121">
        <f t="shared" si="43"/>
        <v>4.9853484704799209</v>
      </c>
      <c r="G133" s="121">
        <f t="shared" ref="G133:R133" si="60">G76</f>
        <v>11.03894018627553</v>
      </c>
      <c r="H133" s="202">
        <f t="shared" si="60"/>
        <v>3.8961816351851253E-4</v>
      </c>
      <c r="I133" s="121">
        <f t="shared" si="60"/>
        <v>4.6579862119971454</v>
      </c>
      <c r="J133" s="121">
        <f t="shared" si="60"/>
        <v>11.472658795308536</v>
      </c>
      <c r="K133" s="202">
        <f t="shared" si="60"/>
        <v>3.8138057572750686E-4</v>
      </c>
      <c r="L133" s="121">
        <f t="shared" si="60"/>
        <v>5.3237054431606055</v>
      </c>
      <c r="M133" s="121">
        <f t="shared" si="60"/>
        <v>11.923418155414312</v>
      </c>
      <c r="N133" s="202">
        <f t="shared" si="60"/>
        <v>3.7328631111824213E-4</v>
      </c>
      <c r="O133" s="121">
        <f t="shared" si="60"/>
        <v>5.8322393940693038</v>
      </c>
      <c r="P133" s="121">
        <f t="shared" si="60"/>
        <v>12.391887795617155</v>
      </c>
      <c r="Q133" s="202">
        <f t="shared" si="60"/>
        <v>3.6533450310508004E-4</v>
      </c>
      <c r="R133" s="121">
        <f t="shared" si="60"/>
        <v>6.1854580556045367</v>
      </c>
      <c r="S133" s="31"/>
    </row>
    <row r="134" spans="2:19">
      <c r="B134" s="68">
        <v>18</v>
      </c>
      <c r="C134" s="65" t="s">
        <v>167</v>
      </c>
      <c r="D134" s="121">
        <f t="shared" si="42"/>
        <v>20</v>
      </c>
      <c r="E134" s="202">
        <f t="shared" si="42"/>
        <v>7.4941461379669197E-4</v>
      </c>
      <c r="F134" s="121">
        <f t="shared" si="43"/>
        <v>9.387173251009747</v>
      </c>
      <c r="G134" s="121">
        <f t="shared" ref="G134:R134" si="61">G77</f>
        <v>20</v>
      </c>
      <c r="H134" s="202">
        <f t="shared" si="61"/>
        <v>7.0589777088006359E-4</v>
      </c>
      <c r="I134" s="121">
        <f t="shared" si="61"/>
        <v>8.4391909610821454</v>
      </c>
      <c r="J134" s="121">
        <f t="shared" si="61"/>
        <v>20</v>
      </c>
      <c r="K134" s="202">
        <f t="shared" si="61"/>
        <v>6.6485124770460904E-4</v>
      </c>
      <c r="L134" s="121">
        <f t="shared" si="61"/>
        <v>9.2806829491653744</v>
      </c>
      <c r="M134" s="121">
        <f t="shared" si="61"/>
        <v>20</v>
      </c>
      <c r="N134" s="202">
        <f t="shared" si="61"/>
        <v>6.2613976336766536E-4</v>
      </c>
      <c r="O134" s="121">
        <f t="shared" si="61"/>
        <v>9.782831262058755</v>
      </c>
      <c r="P134" s="121">
        <f t="shared" si="61"/>
        <v>20</v>
      </c>
      <c r="Q134" s="202">
        <f t="shared" si="61"/>
        <v>5.896349436512715E-4</v>
      </c>
      <c r="R134" s="121">
        <f t="shared" si="61"/>
        <v>9.9830762796161707</v>
      </c>
      <c r="S134" s="31"/>
    </row>
    <row r="135" spans="2:19">
      <c r="B135" s="68">
        <v>19</v>
      </c>
      <c r="C135" s="65" t="s">
        <v>168</v>
      </c>
      <c r="D135" s="121">
        <f t="shared" si="42"/>
        <v>20</v>
      </c>
      <c r="E135" s="202">
        <f t="shared" si="42"/>
        <v>7.4941461379669197E-4</v>
      </c>
      <c r="F135" s="121">
        <f t="shared" si="43"/>
        <v>9.387173251009747</v>
      </c>
      <c r="G135" s="121">
        <f t="shared" ref="G135:R135" si="62">G78</f>
        <v>20</v>
      </c>
      <c r="H135" s="202">
        <f t="shared" si="62"/>
        <v>7.0589777088006359E-4</v>
      </c>
      <c r="I135" s="121">
        <f t="shared" si="62"/>
        <v>8.4391909610821454</v>
      </c>
      <c r="J135" s="121">
        <f t="shared" si="62"/>
        <v>20</v>
      </c>
      <c r="K135" s="202">
        <f t="shared" si="62"/>
        <v>6.6485124770460904E-4</v>
      </c>
      <c r="L135" s="121">
        <f t="shared" si="62"/>
        <v>9.2806829491653744</v>
      </c>
      <c r="M135" s="121">
        <f t="shared" si="62"/>
        <v>20</v>
      </c>
      <c r="N135" s="202">
        <f t="shared" si="62"/>
        <v>6.2613976336766536E-4</v>
      </c>
      <c r="O135" s="121">
        <f t="shared" si="62"/>
        <v>9.782831262058755</v>
      </c>
      <c r="P135" s="121">
        <f t="shared" si="62"/>
        <v>20</v>
      </c>
      <c r="Q135" s="202">
        <f t="shared" si="62"/>
        <v>5.896349436512715E-4</v>
      </c>
      <c r="R135" s="121">
        <f t="shared" si="62"/>
        <v>9.9830762796161707</v>
      </c>
      <c r="S135" s="31"/>
    </row>
    <row r="136" spans="2:19">
      <c r="B136" s="56"/>
      <c r="C136" s="55" t="s">
        <v>191</v>
      </c>
      <c r="D136" s="126">
        <f t="shared" si="42"/>
        <v>26687.496656458025</v>
      </c>
      <c r="E136" s="201">
        <f t="shared" si="42"/>
        <v>0.99999999999999978</v>
      </c>
      <c r="F136" s="126">
        <v>12526.007737495742</v>
      </c>
      <c r="G136" s="126">
        <f t="shared" ref="G136:R136" si="63">G79</f>
        <v>28332.71448791432</v>
      </c>
      <c r="H136" s="201">
        <f t="shared" si="63"/>
        <v>1</v>
      </c>
      <c r="I136" s="126">
        <f t="shared" si="63"/>
        <v>11955.259400466382</v>
      </c>
      <c r="J136" s="126">
        <f t="shared" si="63"/>
        <v>30081.916923597211</v>
      </c>
      <c r="K136" s="201">
        <f t="shared" si="63"/>
        <v>1.0000000000000002</v>
      </c>
      <c r="L136" s="126">
        <f t="shared" si="63"/>
        <v>13959.036673551898</v>
      </c>
      <c r="M136" s="126">
        <f t="shared" si="63"/>
        <v>31941.750340899729</v>
      </c>
      <c r="N136" s="201">
        <f t="shared" si="63"/>
        <v>0.99999999999999978</v>
      </c>
      <c r="O136" s="126">
        <f t="shared" si="63"/>
        <v>15624.037689991488</v>
      </c>
      <c r="P136" s="126">
        <f t="shared" si="63"/>
        <v>33919.292293213584</v>
      </c>
      <c r="Q136" s="201">
        <f t="shared" si="63"/>
        <v>1.0000000000000002</v>
      </c>
      <c r="R136" s="126">
        <f t="shared" si="63"/>
        <v>16930.944115687405</v>
      </c>
      <c r="S136" s="31"/>
    </row>
    <row r="138" spans="2:19">
      <c r="F138" s="205"/>
    </row>
    <row r="139" spans="2:19">
      <c r="F139" s="205"/>
    </row>
    <row r="140" spans="2:19">
      <c r="F140" s="205"/>
    </row>
    <row r="141" spans="2:19">
      <c r="F141" s="205"/>
    </row>
    <row r="142" spans="2:19">
      <c r="F142" s="205"/>
    </row>
    <row r="143" spans="2:19">
      <c r="F143" s="205"/>
    </row>
    <row r="144" spans="2:19">
      <c r="F144" s="205"/>
    </row>
    <row r="145" spans="6:6">
      <c r="F145" s="205"/>
    </row>
    <row r="146" spans="6:6">
      <c r="F146" s="205"/>
    </row>
    <row r="147" spans="6:6">
      <c r="F147" s="205"/>
    </row>
    <row r="148" spans="6:6">
      <c r="F148" s="205"/>
    </row>
    <row r="149" spans="6:6">
      <c r="F149" s="205"/>
    </row>
    <row r="150" spans="6:6">
      <c r="F150" s="205"/>
    </row>
    <row r="151" spans="6:6">
      <c r="F151" s="205"/>
    </row>
    <row r="152" spans="6:6">
      <c r="F152" s="205"/>
    </row>
    <row r="153" spans="6:6">
      <c r="F153" s="205"/>
    </row>
    <row r="154" spans="6:6">
      <c r="F154" s="205"/>
    </row>
    <row r="155" spans="6:6">
      <c r="F155" s="205"/>
    </row>
    <row r="158" spans="6:6">
      <c r="F158" s="205"/>
    </row>
    <row r="159" spans="6:6">
      <c r="F159" s="205"/>
    </row>
    <row r="160" spans="6:6">
      <c r="F160" s="205"/>
    </row>
    <row r="161" spans="6:6">
      <c r="F161" s="205"/>
    </row>
    <row r="162" spans="6:6">
      <c r="F162" s="205"/>
    </row>
    <row r="163" spans="6:6">
      <c r="F163" s="205"/>
    </row>
    <row r="164" spans="6:6">
      <c r="F164" s="205"/>
    </row>
    <row r="165" spans="6:6">
      <c r="F165" s="205"/>
    </row>
    <row r="166" spans="6:6">
      <c r="F166" s="205"/>
    </row>
    <row r="167" spans="6:6">
      <c r="F167" s="205"/>
    </row>
    <row r="168" spans="6:6">
      <c r="F168" s="205"/>
    </row>
    <row r="169" spans="6:6">
      <c r="F169" s="205"/>
    </row>
    <row r="170" spans="6:6">
      <c r="F170" s="205"/>
    </row>
    <row r="171" spans="6:6">
      <c r="F171" s="205"/>
    </row>
    <row r="172" spans="6:6">
      <c r="F172" s="205"/>
    </row>
    <row r="173" spans="6:6">
      <c r="F173" s="205"/>
    </row>
    <row r="174" spans="6:6">
      <c r="F174" s="205"/>
    </row>
    <row r="175" spans="6:6">
      <c r="F175" s="205"/>
    </row>
    <row r="176" spans="6:6">
      <c r="F176" s="205"/>
    </row>
  </sheetData>
  <mergeCells count="55">
    <mergeCell ref="B113:S113"/>
    <mergeCell ref="B114:B116"/>
    <mergeCell ref="C114:C116"/>
    <mergeCell ref="D114:I114"/>
    <mergeCell ref="J114:R114"/>
    <mergeCell ref="S114:S116"/>
    <mergeCell ref="D115:F115"/>
    <mergeCell ref="G115:I115"/>
    <mergeCell ref="J115:L115"/>
    <mergeCell ref="M115:O115"/>
    <mergeCell ref="P115:R115"/>
    <mergeCell ref="B86:S86"/>
    <mergeCell ref="B87:B89"/>
    <mergeCell ref="C87:C89"/>
    <mergeCell ref="D87:I87"/>
    <mergeCell ref="J87:R87"/>
    <mergeCell ref="S87:S89"/>
    <mergeCell ref="D88:F88"/>
    <mergeCell ref="G88:I88"/>
    <mergeCell ref="J88:L88"/>
    <mergeCell ref="M88:O88"/>
    <mergeCell ref="P88:R88"/>
    <mergeCell ref="D8:F8"/>
    <mergeCell ref="G8:I8"/>
    <mergeCell ref="J8:L8"/>
    <mergeCell ref="M8:O8"/>
    <mergeCell ref="B2:S2"/>
    <mergeCell ref="B3:S3"/>
    <mergeCell ref="B4:S4"/>
    <mergeCell ref="B7:B9"/>
    <mergeCell ref="C7:C9"/>
    <mergeCell ref="D7:I7"/>
    <mergeCell ref="J7:O7"/>
    <mergeCell ref="P31:R31"/>
    <mergeCell ref="D31:F31"/>
    <mergeCell ref="G31:I31"/>
    <mergeCell ref="J31:L31"/>
    <mergeCell ref="D30:I30"/>
    <mergeCell ref="J30:R30"/>
    <mergeCell ref="B56:S56"/>
    <mergeCell ref="B29:S29"/>
    <mergeCell ref="B57:B59"/>
    <mergeCell ref="C57:C59"/>
    <mergeCell ref="D57:I57"/>
    <mergeCell ref="J57:R57"/>
    <mergeCell ref="S57:S59"/>
    <mergeCell ref="D58:F58"/>
    <mergeCell ref="G58:I58"/>
    <mergeCell ref="J58:L58"/>
    <mergeCell ref="M58:O58"/>
    <mergeCell ref="P58:R58"/>
    <mergeCell ref="S30:S32"/>
    <mergeCell ref="B30:B32"/>
    <mergeCell ref="C30:C32"/>
    <mergeCell ref="M31:O31"/>
  </mergeCells>
  <phoneticPr fontId="0" type="noConversion"/>
  <pageMargins left="1.02" right="0.25" top="1" bottom="1" header="0.25" footer="0.25"/>
  <pageSetup paperSize="9" scale="35" orientation="landscape" r:id="rId1"/>
  <headerFooter alignWithMargins="0">
    <oddHeader>&amp;F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X83"/>
  <sheetViews>
    <sheetView showGridLines="0" topLeftCell="A59" zoomScale="68" zoomScaleNormal="70" zoomScaleSheetLayoutView="65" workbookViewId="0">
      <selection activeCell="D64" sqref="D64:M83"/>
    </sheetView>
  </sheetViews>
  <sheetFormatPr defaultColWidth="9.140625" defaultRowHeight="13.9"/>
  <cols>
    <col min="1" max="1" width="6.85546875" style="16" customWidth="1"/>
    <col min="2" max="2" width="10.42578125" style="30" bestFit="1" customWidth="1"/>
    <col min="3" max="3" width="36.42578125" style="34" customWidth="1"/>
    <col min="4" max="14" width="17" style="16" customWidth="1"/>
    <col min="15" max="16384" width="9.140625" style="16"/>
  </cols>
  <sheetData>
    <row r="2" spans="1:24" ht="15.6">
      <c r="A2" s="409" t="s">
        <v>19</v>
      </c>
      <c r="B2" s="409"/>
      <c r="C2" s="409"/>
      <c r="D2" s="409"/>
      <c r="E2" s="409"/>
      <c r="F2" s="409"/>
      <c r="G2" s="409"/>
      <c r="H2" s="409"/>
      <c r="I2" s="409"/>
      <c r="J2" s="409"/>
      <c r="K2" s="409"/>
      <c r="L2" s="409"/>
      <c r="M2" s="409"/>
      <c r="N2" s="409"/>
      <c r="O2" s="57"/>
      <c r="P2" s="57"/>
      <c r="Q2" s="57"/>
      <c r="R2" s="57"/>
      <c r="S2" s="57"/>
      <c r="T2" s="57"/>
      <c r="U2" s="57"/>
      <c r="V2" s="57"/>
      <c r="W2" s="57"/>
      <c r="X2" s="57"/>
    </row>
    <row r="3" spans="1:24" s="17" customFormat="1" ht="15.6">
      <c r="A3" s="410" t="s">
        <v>1</v>
      </c>
      <c r="B3" s="410"/>
      <c r="C3" s="410"/>
      <c r="D3" s="410"/>
      <c r="E3" s="410"/>
      <c r="F3" s="410"/>
      <c r="G3" s="410"/>
      <c r="H3" s="410"/>
      <c r="I3" s="410"/>
      <c r="J3" s="410"/>
      <c r="K3" s="410"/>
      <c r="L3" s="410"/>
      <c r="M3" s="410"/>
      <c r="N3" s="410"/>
      <c r="O3" s="58"/>
      <c r="P3" s="58"/>
      <c r="Q3" s="58"/>
      <c r="R3" s="58"/>
      <c r="S3" s="58"/>
      <c r="T3" s="58"/>
      <c r="U3" s="58"/>
      <c r="V3" s="58"/>
      <c r="W3" s="58"/>
      <c r="X3" s="58"/>
    </row>
    <row r="4" spans="1:24" s="17" customFormat="1" ht="15.6">
      <c r="A4" s="409" t="s">
        <v>199</v>
      </c>
      <c r="B4" s="409"/>
      <c r="C4" s="409"/>
      <c r="D4" s="409"/>
      <c r="E4" s="409"/>
      <c r="F4" s="409"/>
      <c r="G4" s="409"/>
      <c r="H4" s="409"/>
      <c r="I4" s="409"/>
      <c r="J4" s="409"/>
      <c r="K4" s="409"/>
      <c r="L4" s="409"/>
      <c r="M4" s="409"/>
      <c r="N4" s="409"/>
      <c r="O4" s="57"/>
      <c r="P4" s="57"/>
      <c r="Q4" s="57"/>
      <c r="R4" s="57"/>
      <c r="S4" s="57"/>
      <c r="T4" s="57"/>
      <c r="U4" s="57"/>
      <c r="V4" s="57"/>
      <c r="W4" s="57"/>
      <c r="X4" s="57"/>
    </row>
    <row r="5" spans="1:24" s="17" customFormat="1" ht="15.6">
      <c r="A5" s="51"/>
      <c r="B5" s="51"/>
      <c r="C5" s="51"/>
      <c r="D5" s="51"/>
      <c r="E5" s="51"/>
      <c r="F5" s="51"/>
      <c r="G5" s="51"/>
      <c r="H5" s="51"/>
      <c r="I5" s="51"/>
      <c r="J5" s="51"/>
      <c r="K5" s="51"/>
      <c r="L5" s="51"/>
      <c r="M5" s="51"/>
      <c r="N5" s="51"/>
      <c r="O5" s="57"/>
      <c r="P5" s="57"/>
      <c r="Q5" s="57"/>
      <c r="R5" s="57"/>
      <c r="S5" s="57"/>
      <c r="T5" s="57"/>
      <c r="U5" s="57"/>
      <c r="V5" s="57"/>
      <c r="W5" s="57"/>
      <c r="X5" s="57"/>
    </row>
    <row r="6" spans="1:24" s="17" customFormat="1" ht="15.6">
      <c r="A6" s="51"/>
      <c r="B6" s="51"/>
      <c r="C6" s="51"/>
      <c r="D6" s="51"/>
      <c r="E6" s="51"/>
      <c r="F6" s="51"/>
      <c r="G6" s="51"/>
      <c r="H6" s="51"/>
      <c r="I6" s="51"/>
      <c r="J6" s="51"/>
      <c r="K6" s="51"/>
      <c r="L6" s="51"/>
      <c r="M6" s="51"/>
      <c r="N6" s="51"/>
      <c r="O6" s="57"/>
      <c r="P6" s="57"/>
      <c r="Q6" s="57"/>
      <c r="R6" s="57"/>
      <c r="S6" s="57"/>
      <c r="T6" s="57"/>
      <c r="U6" s="57"/>
      <c r="V6" s="57"/>
      <c r="W6" s="57"/>
      <c r="X6" s="57"/>
    </row>
    <row r="7" spans="1:24" s="17" customFormat="1" ht="15.6">
      <c r="A7" s="51"/>
      <c r="B7" s="37"/>
      <c r="C7" s="74"/>
      <c r="D7" s="75"/>
      <c r="E7" s="75"/>
      <c r="F7" s="75"/>
      <c r="G7" s="75"/>
      <c r="H7" s="75"/>
      <c r="I7" s="8" t="s">
        <v>21</v>
      </c>
      <c r="J7" s="51"/>
      <c r="K7" s="51"/>
      <c r="L7" s="51"/>
      <c r="M7" s="51"/>
      <c r="N7" s="51"/>
      <c r="O7" s="57"/>
      <c r="P7" s="57"/>
      <c r="Q7" s="57"/>
      <c r="R7" s="57"/>
      <c r="S7" s="57"/>
      <c r="T7" s="57"/>
      <c r="U7" s="57"/>
      <c r="V7" s="57"/>
      <c r="W7" s="57"/>
      <c r="X7" s="57"/>
    </row>
    <row r="8" spans="1:24" s="17" customFormat="1" ht="15.6">
      <c r="A8" s="51"/>
      <c r="B8" s="411" t="s">
        <v>2</v>
      </c>
      <c r="C8" s="411" t="s">
        <v>82</v>
      </c>
      <c r="D8" s="411" t="s">
        <v>51</v>
      </c>
      <c r="E8" s="411"/>
      <c r="F8" s="411"/>
      <c r="G8" s="411" t="s">
        <v>52</v>
      </c>
      <c r="H8" s="411"/>
      <c r="I8" s="411"/>
      <c r="J8" s="51"/>
      <c r="K8" s="51"/>
      <c r="L8" s="51"/>
      <c r="M8" s="51"/>
      <c r="N8" s="51"/>
      <c r="O8" s="57"/>
      <c r="P8" s="57"/>
      <c r="Q8" s="57"/>
      <c r="R8" s="57"/>
      <c r="S8" s="57"/>
      <c r="T8" s="57"/>
      <c r="U8" s="57"/>
      <c r="V8" s="57"/>
      <c r="W8" s="57"/>
      <c r="X8" s="57"/>
    </row>
    <row r="9" spans="1:24" s="17" customFormat="1" ht="15.6">
      <c r="A9" s="51"/>
      <c r="B9" s="411"/>
      <c r="C9" s="411"/>
      <c r="D9" s="50" t="s">
        <v>54</v>
      </c>
      <c r="E9" s="50" t="s">
        <v>56</v>
      </c>
      <c r="F9" s="50" t="s">
        <v>200</v>
      </c>
      <c r="G9" s="50" t="s">
        <v>54</v>
      </c>
      <c r="H9" s="50" t="s">
        <v>56</v>
      </c>
      <c r="I9" s="50" t="s">
        <v>200</v>
      </c>
      <c r="J9" s="51"/>
      <c r="K9" s="51"/>
      <c r="L9" s="51"/>
      <c r="M9" s="51"/>
      <c r="N9" s="51"/>
      <c r="O9" s="57"/>
      <c r="P9" s="57"/>
      <c r="Q9" s="57"/>
      <c r="R9" s="57"/>
      <c r="S9" s="57"/>
      <c r="T9" s="57"/>
      <c r="U9" s="57"/>
      <c r="V9" s="57"/>
      <c r="W9" s="57"/>
      <c r="X9" s="57"/>
    </row>
    <row r="10" spans="1:24" s="17" customFormat="1" ht="15.6">
      <c r="A10" s="51"/>
      <c r="B10" s="414"/>
      <c r="C10" s="414"/>
      <c r="D10" s="50" t="s">
        <v>201</v>
      </c>
      <c r="E10" s="50" t="s">
        <v>202</v>
      </c>
      <c r="F10" s="50" t="s">
        <v>203</v>
      </c>
      <c r="G10" s="50" t="s">
        <v>204</v>
      </c>
      <c r="H10" s="50" t="s">
        <v>205</v>
      </c>
      <c r="I10" s="50" t="s">
        <v>206</v>
      </c>
      <c r="J10" s="51"/>
      <c r="K10" s="51"/>
      <c r="L10" s="51"/>
      <c r="M10" s="51"/>
      <c r="N10" s="51"/>
      <c r="O10" s="57"/>
      <c r="P10" s="57"/>
      <c r="Q10" s="57"/>
      <c r="R10" s="57"/>
      <c r="S10" s="57"/>
      <c r="T10" s="57"/>
      <c r="U10" s="57"/>
      <c r="V10" s="57"/>
      <c r="W10" s="57"/>
      <c r="X10" s="57"/>
    </row>
    <row r="11" spans="1:24" s="17" customFormat="1" ht="15.6">
      <c r="A11" s="51"/>
      <c r="B11" s="68">
        <v>1</v>
      </c>
      <c r="C11" s="10" t="s">
        <v>96</v>
      </c>
      <c r="D11" s="203">
        <f>'F5'!F10</f>
        <v>5885.4099386011258</v>
      </c>
      <c r="E11" s="114">
        <f>'F5'!I10</f>
        <v>5979.6188937001853</v>
      </c>
      <c r="F11" s="113">
        <f t="shared" ref="F11:F29" si="0">E11-D11</f>
        <v>94.208955099059494</v>
      </c>
      <c r="G11" s="84">
        <f>'F5'!L10</f>
        <v>8562.9599999999991</v>
      </c>
      <c r="H11" s="114">
        <f>'F5'!O10</f>
        <v>8329.4395334182718</v>
      </c>
      <c r="I11" s="113">
        <f t="shared" ref="I11:I29" si="1">H11-G11</f>
        <v>-233.52046658172731</v>
      </c>
      <c r="J11" s="51"/>
      <c r="K11" s="51"/>
      <c r="L11" s="51"/>
      <c r="M11" s="51"/>
      <c r="N11" s="51"/>
      <c r="O11" s="57"/>
      <c r="P11" s="57"/>
      <c r="Q11" s="57"/>
      <c r="R11" s="57"/>
      <c r="S11" s="57"/>
      <c r="T11" s="57"/>
      <c r="U11" s="57"/>
      <c r="V11" s="57"/>
      <c r="W11" s="57"/>
      <c r="X11" s="57"/>
    </row>
    <row r="12" spans="1:24" s="17" customFormat="1" ht="15.6">
      <c r="A12" s="51"/>
      <c r="B12" s="68">
        <v>2</v>
      </c>
      <c r="C12" s="10" t="s">
        <v>97</v>
      </c>
      <c r="D12" s="203">
        <f>'F5'!F11</f>
        <v>259.11190781494923</v>
      </c>
      <c r="E12" s="114">
        <f>'F5'!I11</f>
        <v>240.81915731755811</v>
      </c>
      <c r="F12" s="113">
        <f t="shared" si="0"/>
        <v>-18.292750497391125</v>
      </c>
      <c r="G12" s="84">
        <f>'F5'!L11</f>
        <v>277</v>
      </c>
      <c r="H12" s="114">
        <f>'F5'!O11</f>
        <v>317.40793213332097</v>
      </c>
      <c r="I12" s="113">
        <f t="shared" si="1"/>
        <v>40.407932133320969</v>
      </c>
      <c r="J12" s="51"/>
      <c r="K12" s="51"/>
      <c r="L12" s="51"/>
      <c r="M12" s="51"/>
      <c r="N12" s="51"/>
      <c r="O12" s="57"/>
      <c r="P12" s="57"/>
      <c r="Q12" s="57"/>
      <c r="R12" s="57"/>
      <c r="S12" s="57"/>
      <c r="T12" s="57"/>
      <c r="U12" s="57"/>
      <c r="V12" s="57"/>
      <c r="W12" s="57"/>
      <c r="X12" s="57"/>
    </row>
    <row r="13" spans="1:24" s="17" customFormat="1" ht="15.6">
      <c r="A13" s="51"/>
      <c r="B13" s="68">
        <v>3</v>
      </c>
      <c r="C13" s="10" t="s">
        <v>98</v>
      </c>
      <c r="D13" s="203">
        <f>'F5'!F12</f>
        <v>482.07810083799313</v>
      </c>
      <c r="E13" s="114">
        <f>'F5'!I12</f>
        <v>435.46090762283438</v>
      </c>
      <c r="F13" s="113">
        <f t="shared" si="0"/>
        <v>-46.61719321515875</v>
      </c>
      <c r="G13" s="84">
        <f>'F5'!L12</f>
        <v>490.65</v>
      </c>
      <c r="H13" s="114">
        <f>'F5'!O12</f>
        <v>579.3129889292685</v>
      </c>
      <c r="I13" s="113">
        <f t="shared" si="1"/>
        <v>88.662988929268522</v>
      </c>
      <c r="J13" s="51"/>
      <c r="K13" s="51"/>
      <c r="L13" s="51"/>
      <c r="M13" s="51"/>
      <c r="N13" s="51"/>
      <c r="O13" s="57"/>
      <c r="P13" s="57"/>
      <c r="Q13" s="57"/>
      <c r="R13" s="57"/>
      <c r="S13" s="57"/>
      <c r="T13" s="57"/>
      <c r="U13" s="57"/>
      <c r="V13" s="57"/>
      <c r="W13" s="57"/>
      <c r="X13" s="57"/>
    </row>
    <row r="14" spans="1:24" s="17" customFormat="1" ht="15.6">
      <c r="A14" s="51"/>
      <c r="B14" s="68">
        <v>4</v>
      </c>
      <c r="C14" s="10" t="s">
        <v>99</v>
      </c>
      <c r="D14" s="203">
        <f>'F5'!F13</f>
        <v>256.69636790397232</v>
      </c>
      <c r="E14" s="114">
        <f>'F5'!I13</f>
        <v>219.61677084122309</v>
      </c>
      <c r="F14" s="113">
        <f t="shared" si="0"/>
        <v>-37.07959706274923</v>
      </c>
      <c r="G14" s="84">
        <f>'F5'!L13</f>
        <v>232.1</v>
      </c>
      <c r="H14" s="114">
        <f>'F5'!O13</f>
        <v>289.42984105973915</v>
      </c>
      <c r="I14" s="113">
        <f t="shared" si="1"/>
        <v>57.329841059739152</v>
      </c>
      <c r="J14" s="51"/>
      <c r="K14" s="51"/>
      <c r="L14" s="51"/>
      <c r="M14" s="51"/>
      <c r="N14" s="51"/>
      <c r="O14" s="57"/>
      <c r="P14" s="57"/>
      <c r="Q14" s="57"/>
      <c r="R14" s="57"/>
      <c r="S14" s="57"/>
      <c r="T14" s="57"/>
      <c r="U14" s="57"/>
      <c r="V14" s="57"/>
      <c r="W14" s="57"/>
      <c r="X14" s="57"/>
    </row>
    <row r="15" spans="1:24" s="17" customFormat="1" ht="15.6">
      <c r="A15" s="51"/>
      <c r="B15" s="68">
        <v>5</v>
      </c>
      <c r="C15" s="10" t="s">
        <v>100</v>
      </c>
      <c r="D15" s="203">
        <f>'F5'!F14</f>
        <v>121.07971825086825</v>
      </c>
      <c r="E15" s="114">
        <f>'F5'!I14</f>
        <v>133.2680556880633</v>
      </c>
      <c r="F15" s="113">
        <f t="shared" si="0"/>
        <v>12.188337437195045</v>
      </c>
      <c r="G15" s="84">
        <f>'F5'!L14</f>
        <v>125.18</v>
      </c>
      <c r="H15" s="114">
        <f>'F5'!O14</f>
        <v>170.26981181438632</v>
      </c>
      <c r="I15" s="113">
        <f t="shared" si="1"/>
        <v>45.089811814386309</v>
      </c>
      <c r="J15" s="51"/>
      <c r="K15" s="51"/>
      <c r="L15" s="51"/>
      <c r="M15" s="51"/>
      <c r="N15" s="51"/>
      <c r="O15" s="57"/>
      <c r="P15" s="57"/>
      <c r="Q15" s="57"/>
      <c r="R15" s="57"/>
      <c r="S15" s="57"/>
      <c r="T15" s="57"/>
      <c r="U15" s="57"/>
      <c r="V15" s="57"/>
      <c r="W15" s="57"/>
      <c r="X15" s="57"/>
    </row>
    <row r="16" spans="1:24" s="17" customFormat="1" ht="15.6">
      <c r="A16" s="51"/>
      <c r="B16" s="68">
        <v>6</v>
      </c>
      <c r="C16" s="10" t="s">
        <v>101</v>
      </c>
      <c r="D16" s="203">
        <f>'F5'!F15</f>
        <v>4.9309471050950293</v>
      </c>
      <c r="E16" s="114">
        <f>'F5'!I15</f>
        <v>2.5281127530587266</v>
      </c>
      <c r="F16" s="113">
        <f t="shared" si="0"/>
        <v>-2.4028343520363027</v>
      </c>
      <c r="G16" s="84">
        <f>'F5'!L15</f>
        <v>1.56</v>
      </c>
      <c r="H16" s="114">
        <f>'F5'!O15</f>
        <v>3.4422094063426747</v>
      </c>
      <c r="I16" s="113">
        <f t="shared" si="1"/>
        <v>1.8822094063426746</v>
      </c>
      <c r="J16" s="51"/>
      <c r="K16" s="51"/>
      <c r="L16" s="51"/>
      <c r="M16" s="51"/>
      <c r="N16" s="51"/>
      <c r="O16" s="57"/>
      <c r="P16" s="57"/>
      <c r="Q16" s="57"/>
      <c r="R16" s="57"/>
      <c r="S16" s="57"/>
      <c r="T16" s="57"/>
      <c r="U16" s="57"/>
      <c r="V16" s="57"/>
      <c r="W16" s="57"/>
      <c r="X16" s="57"/>
    </row>
    <row r="17" spans="1:24" s="17" customFormat="1" ht="15.6">
      <c r="A17" s="51"/>
      <c r="B17" s="68">
        <v>7</v>
      </c>
      <c r="C17" s="10" t="s">
        <v>102</v>
      </c>
      <c r="D17" s="203">
        <f>'F5'!F16</f>
        <v>2.4966820785291284</v>
      </c>
      <c r="E17" s="114">
        <f>'F5'!I16</f>
        <v>1.4204338016179847</v>
      </c>
      <c r="F17" s="113">
        <f t="shared" si="0"/>
        <v>-1.0762482769111437</v>
      </c>
      <c r="G17" s="84">
        <f>'F5'!L16</f>
        <v>0.52</v>
      </c>
      <c r="H17" s="114">
        <f>'F5'!O16</f>
        <v>1.7009690539404798</v>
      </c>
      <c r="I17" s="113">
        <f t="shared" si="1"/>
        <v>1.1809690539404798</v>
      </c>
      <c r="J17" s="51"/>
      <c r="K17" s="51"/>
      <c r="L17" s="51"/>
      <c r="M17" s="51"/>
      <c r="N17" s="51"/>
      <c r="O17" s="57"/>
      <c r="P17" s="57"/>
      <c r="Q17" s="57"/>
      <c r="R17" s="57"/>
      <c r="S17" s="57"/>
      <c r="T17" s="57"/>
      <c r="U17" s="57"/>
      <c r="V17" s="57"/>
      <c r="W17" s="57"/>
      <c r="X17" s="57"/>
    </row>
    <row r="18" spans="1:24" s="17" customFormat="1" ht="15.6">
      <c r="A18" s="51"/>
      <c r="B18" s="68">
        <v>8</v>
      </c>
      <c r="C18" s="10" t="s">
        <v>103</v>
      </c>
      <c r="D18" s="203">
        <f>'F5'!F17</f>
        <v>2.6527247084371988</v>
      </c>
      <c r="E18" s="114">
        <f>'F5'!I17</f>
        <v>1.210489218631599</v>
      </c>
      <c r="F18" s="113">
        <f t="shared" si="0"/>
        <v>-1.4422354898055998</v>
      </c>
      <c r="G18" s="84">
        <f>'F5'!L17</f>
        <v>1.22</v>
      </c>
      <c r="H18" s="114">
        <f>'F5'!O17</f>
        <v>1.7286286706901883</v>
      </c>
      <c r="I18" s="113">
        <f t="shared" si="1"/>
        <v>0.50862867069018836</v>
      </c>
      <c r="J18" s="51"/>
      <c r="K18" s="51"/>
      <c r="L18" s="51"/>
      <c r="M18" s="51"/>
      <c r="N18" s="51"/>
      <c r="O18" s="57"/>
      <c r="P18" s="57"/>
      <c r="Q18" s="57"/>
      <c r="R18" s="57"/>
      <c r="S18" s="57"/>
      <c r="T18" s="57"/>
      <c r="U18" s="57"/>
      <c r="V18" s="57"/>
      <c r="W18" s="57"/>
      <c r="X18" s="57"/>
    </row>
    <row r="19" spans="1:24" s="17" customFormat="1" ht="15.6">
      <c r="A19" s="51"/>
      <c r="B19" s="68">
        <v>9</v>
      </c>
      <c r="C19" s="10" t="s">
        <v>104</v>
      </c>
      <c r="D19" s="203">
        <f>'F5'!F18</f>
        <v>0.16540518770255477</v>
      </c>
      <c r="E19" s="114">
        <f>'F5'!I18</f>
        <v>0.9546700244756765</v>
      </c>
      <c r="F19" s="113">
        <f t="shared" si="0"/>
        <v>0.78926483677312176</v>
      </c>
      <c r="G19" s="84">
        <f>'F5'!L18</f>
        <v>1.59</v>
      </c>
      <c r="H19" s="114">
        <f>'F5'!O18</f>
        <v>1.790663579540017</v>
      </c>
      <c r="I19" s="113">
        <f t="shared" si="1"/>
        <v>0.2006635795400169</v>
      </c>
      <c r="J19" s="51"/>
      <c r="K19" s="51"/>
      <c r="L19" s="51"/>
      <c r="M19" s="51"/>
      <c r="N19" s="51"/>
      <c r="O19" s="57"/>
      <c r="P19" s="57"/>
      <c r="Q19" s="57"/>
      <c r="R19" s="57"/>
      <c r="S19" s="57"/>
      <c r="T19" s="57"/>
      <c r="U19" s="57"/>
      <c r="V19" s="57"/>
      <c r="W19" s="57"/>
      <c r="X19" s="57"/>
    </row>
    <row r="20" spans="1:24" s="17" customFormat="1" ht="15.6">
      <c r="A20" s="51"/>
      <c r="B20" s="68">
        <v>10</v>
      </c>
      <c r="C20" s="10" t="s">
        <v>105</v>
      </c>
      <c r="D20" s="203">
        <f>'F5'!F19</f>
        <v>3.8573738113275033</v>
      </c>
      <c r="E20" s="114">
        <f>'F5'!I19</f>
        <v>3.581675332350398</v>
      </c>
      <c r="F20" s="113">
        <f t="shared" si="0"/>
        <v>-0.27569847897710531</v>
      </c>
      <c r="G20" s="84">
        <f>'F5'!L19</f>
        <v>5.14</v>
      </c>
      <c r="H20" s="114">
        <f>'F5'!O19</f>
        <v>4.8771519110696859</v>
      </c>
      <c r="I20" s="113">
        <f t="shared" si="1"/>
        <v>-0.26284808893031375</v>
      </c>
      <c r="J20" s="51"/>
      <c r="K20" s="51"/>
      <c r="L20" s="51"/>
      <c r="M20" s="51"/>
      <c r="N20" s="51"/>
      <c r="O20" s="57"/>
      <c r="P20" s="57"/>
      <c r="Q20" s="57"/>
      <c r="R20" s="57"/>
      <c r="S20" s="57"/>
      <c r="T20" s="57"/>
      <c r="U20" s="57"/>
      <c r="V20" s="57"/>
      <c r="W20" s="57"/>
      <c r="X20" s="57"/>
    </row>
    <row r="21" spans="1:24" s="17" customFormat="1" ht="15.6">
      <c r="A21" s="51"/>
      <c r="B21" s="68">
        <v>11</v>
      </c>
      <c r="C21" s="10" t="s">
        <v>106</v>
      </c>
      <c r="D21" s="203">
        <f>'F5'!F20</f>
        <v>0</v>
      </c>
      <c r="E21" s="114">
        <f>'F5'!I20</f>
        <v>0</v>
      </c>
      <c r="F21" s="113">
        <f t="shared" si="0"/>
        <v>0</v>
      </c>
      <c r="G21" s="84">
        <f>'F5'!L20</f>
        <v>3.38</v>
      </c>
      <c r="H21" s="114">
        <f>'F5'!O20</f>
        <v>2.7914851981622149</v>
      </c>
      <c r="I21" s="113">
        <f t="shared" si="1"/>
        <v>-0.58851480183778504</v>
      </c>
      <c r="J21" s="51"/>
      <c r="K21" s="51"/>
      <c r="L21" s="51"/>
      <c r="M21" s="51"/>
      <c r="N21" s="51"/>
      <c r="O21" s="57"/>
      <c r="P21" s="57"/>
      <c r="Q21" s="57"/>
      <c r="R21" s="57"/>
      <c r="S21" s="57"/>
      <c r="T21" s="57"/>
      <c r="U21" s="57"/>
      <c r="V21" s="57"/>
      <c r="W21" s="57"/>
      <c r="X21" s="57"/>
    </row>
    <row r="22" spans="1:24" s="17" customFormat="1" ht="15.6">
      <c r="A22" s="51"/>
      <c r="B22" s="68">
        <v>12</v>
      </c>
      <c r="C22" s="10" t="s">
        <v>107</v>
      </c>
      <c r="D22" s="203">
        <f>'F5'!F21</f>
        <v>0</v>
      </c>
      <c r="E22" s="114">
        <f>'F5'!I21</f>
        <v>0</v>
      </c>
      <c r="F22" s="113">
        <f t="shared" si="0"/>
        <v>0</v>
      </c>
      <c r="G22" s="84">
        <f>'F5'!L21</f>
        <v>2.63</v>
      </c>
      <c r="H22" s="114">
        <f>'F5'!O21</f>
        <v>1.9918852748023379</v>
      </c>
      <c r="I22" s="113">
        <f t="shared" si="1"/>
        <v>-0.63811472519766199</v>
      </c>
      <c r="J22" s="51"/>
      <c r="K22" s="51"/>
      <c r="L22" s="51"/>
      <c r="M22" s="51"/>
      <c r="N22" s="51"/>
      <c r="O22" s="57"/>
      <c r="P22" s="57"/>
      <c r="Q22" s="57"/>
      <c r="R22" s="57"/>
      <c r="S22" s="57"/>
      <c r="T22" s="57"/>
      <c r="U22" s="57"/>
      <c r="V22" s="57"/>
      <c r="W22" s="57"/>
      <c r="X22" s="57"/>
    </row>
    <row r="23" spans="1:24" s="17" customFormat="1" ht="15.6">
      <c r="A23" s="51"/>
      <c r="B23" s="68">
        <v>13</v>
      </c>
      <c r="C23" s="10" t="s">
        <v>108</v>
      </c>
      <c r="D23" s="203">
        <f>'F5'!F22</f>
        <v>0</v>
      </c>
      <c r="E23" s="114">
        <f>'F5'!I22</f>
        <v>0</v>
      </c>
      <c r="F23" s="113">
        <f t="shared" si="0"/>
        <v>0</v>
      </c>
      <c r="G23" s="84">
        <f>'F5'!L22</f>
        <v>0.56000000000000005</v>
      </c>
      <c r="H23" s="114">
        <f>'F5'!O22</f>
        <v>0.39719884843673842</v>
      </c>
      <c r="I23" s="113">
        <f t="shared" si="1"/>
        <v>-0.16280115156326164</v>
      </c>
      <c r="J23" s="51"/>
      <c r="K23" s="51"/>
      <c r="L23" s="51"/>
      <c r="M23" s="51"/>
      <c r="N23" s="51"/>
      <c r="O23" s="57"/>
      <c r="P23" s="57"/>
      <c r="Q23" s="57"/>
      <c r="R23" s="57"/>
      <c r="S23" s="57"/>
      <c r="T23" s="57"/>
      <c r="U23" s="57"/>
      <c r="V23" s="57"/>
      <c r="W23" s="57"/>
      <c r="X23" s="57"/>
    </row>
    <row r="24" spans="1:24" s="17" customFormat="1" ht="15.6">
      <c r="A24" s="51"/>
      <c r="B24" s="68">
        <v>14</v>
      </c>
      <c r="C24" s="10" t="s">
        <v>109</v>
      </c>
      <c r="D24" s="203">
        <f>'F5'!F23</f>
        <v>0</v>
      </c>
      <c r="E24" s="114">
        <f>'F5'!I23</f>
        <v>0</v>
      </c>
      <c r="F24" s="113">
        <f t="shared" si="0"/>
        <v>0</v>
      </c>
      <c r="G24" s="84">
        <f>'F5'!L23</f>
        <v>0.3</v>
      </c>
      <c r="H24" s="114">
        <f>'F5'!O23</f>
        <v>0.21970030202398119</v>
      </c>
      <c r="I24" s="113">
        <f t="shared" si="1"/>
        <v>-8.0299697976018797E-2</v>
      </c>
      <c r="J24" s="51"/>
      <c r="K24" s="51"/>
      <c r="L24" s="51"/>
      <c r="M24" s="51"/>
      <c r="N24" s="51"/>
      <c r="O24" s="57"/>
      <c r="P24" s="57"/>
      <c r="Q24" s="57"/>
      <c r="R24" s="57"/>
      <c r="S24" s="57"/>
      <c r="T24" s="57"/>
      <c r="U24" s="57"/>
      <c r="V24" s="57"/>
      <c r="W24" s="57"/>
      <c r="X24" s="57"/>
    </row>
    <row r="25" spans="1:24" s="17" customFormat="1" ht="15.6">
      <c r="A25" s="51"/>
      <c r="B25" s="68">
        <v>15</v>
      </c>
      <c r="C25" s="10" t="s">
        <v>110</v>
      </c>
      <c r="D25" s="203">
        <f>'F5'!F24</f>
        <v>0</v>
      </c>
      <c r="E25" s="114">
        <f>'F5'!I24</f>
        <v>0</v>
      </c>
      <c r="F25" s="113">
        <f t="shared" si="0"/>
        <v>0</v>
      </c>
      <c r="G25" s="84">
        <f>'F5'!L24</f>
        <v>0</v>
      </c>
      <c r="H25" s="114">
        <f>'F5'!O24</f>
        <v>0</v>
      </c>
      <c r="I25" s="113">
        <f t="shared" si="1"/>
        <v>0</v>
      </c>
      <c r="J25" s="51"/>
      <c r="K25" s="51"/>
      <c r="L25" s="51"/>
      <c r="M25" s="51"/>
      <c r="N25" s="51"/>
      <c r="O25" s="57"/>
      <c r="P25" s="57"/>
      <c r="Q25" s="57"/>
      <c r="R25" s="57"/>
      <c r="S25" s="57"/>
      <c r="T25" s="57"/>
      <c r="U25" s="57"/>
      <c r="V25" s="57"/>
      <c r="W25" s="57"/>
      <c r="X25" s="57"/>
    </row>
    <row r="26" spans="1:24" s="17" customFormat="1" ht="15.6">
      <c r="A26" s="51"/>
      <c r="B26" s="68">
        <v>16</v>
      </c>
      <c r="C26" s="65" t="s">
        <v>111</v>
      </c>
      <c r="D26" s="203">
        <v>0</v>
      </c>
      <c r="E26" s="203">
        <v>0</v>
      </c>
      <c r="F26" s="113">
        <f t="shared" si="0"/>
        <v>0</v>
      </c>
      <c r="G26" s="113">
        <f t="shared" ref="G26:H29" si="2">F26-E26</f>
        <v>0</v>
      </c>
      <c r="H26" s="113">
        <f t="shared" si="2"/>
        <v>0</v>
      </c>
      <c r="I26" s="113">
        <f t="shared" si="1"/>
        <v>0</v>
      </c>
      <c r="J26" s="51"/>
      <c r="K26" s="51"/>
      <c r="L26" s="51"/>
      <c r="M26" s="51"/>
      <c r="N26" s="51"/>
      <c r="O26" s="57"/>
      <c r="P26" s="57"/>
      <c r="Q26" s="57"/>
      <c r="R26" s="57"/>
      <c r="S26" s="57"/>
      <c r="T26" s="57"/>
      <c r="U26" s="57"/>
      <c r="V26" s="57"/>
      <c r="W26" s="57"/>
      <c r="X26" s="57"/>
    </row>
    <row r="27" spans="1:24" s="17" customFormat="1" ht="15.6">
      <c r="A27" s="51"/>
      <c r="B27" s="68">
        <v>17</v>
      </c>
      <c r="C27" s="65" t="s">
        <v>112</v>
      </c>
      <c r="D27" s="203">
        <v>0</v>
      </c>
      <c r="E27" s="203">
        <v>0</v>
      </c>
      <c r="F27" s="113">
        <f t="shared" si="0"/>
        <v>0</v>
      </c>
      <c r="G27" s="113">
        <f t="shared" si="2"/>
        <v>0</v>
      </c>
      <c r="H27" s="113">
        <f t="shared" si="2"/>
        <v>0</v>
      </c>
      <c r="I27" s="113">
        <f t="shared" si="1"/>
        <v>0</v>
      </c>
      <c r="J27" s="51"/>
      <c r="K27" s="51"/>
      <c r="L27" s="51"/>
      <c r="M27" s="51"/>
      <c r="N27" s="51"/>
      <c r="O27" s="57"/>
      <c r="P27" s="57"/>
      <c r="Q27" s="57"/>
      <c r="R27" s="57"/>
      <c r="S27" s="57"/>
      <c r="T27" s="57"/>
      <c r="U27" s="57"/>
      <c r="V27" s="57"/>
      <c r="W27" s="57"/>
      <c r="X27" s="57"/>
    </row>
    <row r="28" spans="1:24" s="17" customFormat="1" ht="15.6">
      <c r="A28" s="51"/>
      <c r="B28" s="68">
        <v>18</v>
      </c>
      <c r="C28" s="65" t="s">
        <v>167</v>
      </c>
      <c r="D28" s="203">
        <v>0</v>
      </c>
      <c r="E28" s="203">
        <v>0</v>
      </c>
      <c r="F28" s="113">
        <f t="shared" si="0"/>
        <v>0</v>
      </c>
      <c r="G28" s="113">
        <f t="shared" si="2"/>
        <v>0</v>
      </c>
      <c r="H28" s="113">
        <f t="shared" si="2"/>
        <v>0</v>
      </c>
      <c r="I28" s="113">
        <f t="shared" si="1"/>
        <v>0</v>
      </c>
      <c r="J28" s="51"/>
      <c r="K28" s="51"/>
      <c r="L28" s="51"/>
      <c r="M28" s="51"/>
      <c r="N28" s="51"/>
      <c r="O28" s="57"/>
      <c r="P28" s="57"/>
      <c r="Q28" s="57"/>
      <c r="R28" s="57"/>
      <c r="S28" s="57"/>
      <c r="T28" s="57"/>
      <c r="U28" s="57"/>
      <c r="V28" s="57"/>
      <c r="W28" s="57"/>
      <c r="X28" s="57"/>
    </row>
    <row r="29" spans="1:24" s="17" customFormat="1" ht="15.6">
      <c r="A29" s="51"/>
      <c r="B29" s="68">
        <v>19</v>
      </c>
      <c r="C29" s="65" t="s">
        <v>168</v>
      </c>
      <c r="D29" s="203">
        <v>0</v>
      </c>
      <c r="E29" s="203">
        <v>0</v>
      </c>
      <c r="F29" s="113">
        <f t="shared" si="0"/>
        <v>0</v>
      </c>
      <c r="G29" s="113">
        <f t="shared" si="2"/>
        <v>0</v>
      </c>
      <c r="H29" s="113">
        <f t="shared" si="2"/>
        <v>0</v>
      </c>
      <c r="I29" s="113">
        <f t="shared" si="1"/>
        <v>0</v>
      </c>
      <c r="J29" s="51"/>
      <c r="K29" s="51"/>
      <c r="L29" s="51"/>
      <c r="M29" s="51"/>
      <c r="N29" s="51"/>
      <c r="O29" s="57"/>
      <c r="P29" s="57"/>
      <c r="Q29" s="57"/>
      <c r="R29" s="57"/>
      <c r="S29" s="57"/>
      <c r="T29" s="57"/>
      <c r="U29" s="57"/>
      <c r="V29" s="57"/>
      <c r="W29" s="57"/>
      <c r="X29" s="57"/>
    </row>
    <row r="30" spans="1:24" s="17" customFormat="1" ht="15.6">
      <c r="A30" s="51"/>
      <c r="B30" s="56"/>
      <c r="C30" s="55" t="s">
        <v>191</v>
      </c>
      <c r="D30" s="204">
        <f>SUM(D11:D29)</f>
        <v>7018.4791662999996</v>
      </c>
      <c r="E30" s="204">
        <f>SUM(E11:E27)</f>
        <v>7018.4791662999987</v>
      </c>
      <c r="F30" s="204">
        <f t="shared" ref="F30:H30" si="3">SUM(F11:F27)</f>
        <v>-1.5948353748740374E-12</v>
      </c>
      <c r="G30" s="204">
        <f>SUM(G11:G29)</f>
        <v>9704.7899999999954</v>
      </c>
      <c r="H30" s="204">
        <f t="shared" si="3"/>
        <v>9704.7999995999962</v>
      </c>
      <c r="I30" s="204">
        <f>SUM(I11:I29)</f>
        <v>9.9995999959653636E-3</v>
      </c>
      <c r="J30" s="51"/>
      <c r="K30" s="51"/>
      <c r="L30" s="51"/>
      <c r="M30" s="51"/>
      <c r="N30" s="51"/>
      <c r="O30" s="57"/>
      <c r="P30" s="57"/>
      <c r="Q30" s="57"/>
      <c r="R30" s="57"/>
      <c r="S30" s="57"/>
      <c r="T30" s="57"/>
      <c r="U30" s="57"/>
      <c r="V30" s="57"/>
      <c r="W30" s="57"/>
      <c r="X30" s="57"/>
    </row>
    <row r="31" spans="1:24" s="17" customFormat="1" ht="15.6">
      <c r="A31" s="51"/>
      <c r="B31" s="51"/>
      <c r="C31" s="51"/>
      <c r="D31" s="51"/>
      <c r="E31" s="51"/>
      <c r="F31" s="51"/>
      <c r="G31" s="112"/>
      <c r="H31" s="51"/>
      <c r="I31" s="51"/>
      <c r="J31" s="51"/>
      <c r="K31" s="51"/>
      <c r="L31" s="51"/>
      <c r="M31" s="51"/>
      <c r="N31" s="51"/>
      <c r="O31" s="57"/>
      <c r="P31" s="57"/>
      <c r="Q31" s="57"/>
      <c r="R31" s="57"/>
      <c r="S31" s="57"/>
      <c r="T31" s="57"/>
      <c r="U31" s="57"/>
      <c r="V31" s="57"/>
      <c r="W31" s="57"/>
      <c r="X31" s="57"/>
    </row>
    <row r="32" spans="1:24" s="17" customFormat="1" ht="15.6">
      <c r="A32" s="51"/>
      <c r="B32" s="51"/>
      <c r="C32" s="51"/>
      <c r="D32" s="51"/>
      <c r="E32" s="51"/>
      <c r="F32" s="51"/>
      <c r="G32" s="51"/>
      <c r="H32" s="51"/>
      <c r="I32" s="51"/>
      <c r="J32" s="51"/>
      <c r="K32" s="51"/>
      <c r="L32" s="51"/>
      <c r="M32" s="51"/>
      <c r="N32" s="51"/>
      <c r="O32" s="57"/>
      <c r="P32" s="57"/>
      <c r="Q32" s="57"/>
      <c r="R32" s="57"/>
      <c r="S32" s="57"/>
      <c r="T32" s="57"/>
      <c r="U32" s="57"/>
      <c r="V32" s="57"/>
      <c r="W32" s="57"/>
      <c r="X32" s="57"/>
    </row>
    <row r="33" spans="1:14" s="17" customFormat="1">
      <c r="A33" s="245" t="s">
        <v>207</v>
      </c>
      <c r="C33" s="33"/>
      <c r="D33" s="32"/>
      <c r="E33" s="32"/>
      <c r="F33" s="32"/>
      <c r="G33" s="32"/>
      <c r="M33" s="8" t="s">
        <v>21</v>
      </c>
    </row>
    <row r="34" spans="1:14" s="17" customFormat="1">
      <c r="B34" s="403" t="s">
        <v>2</v>
      </c>
      <c r="C34" s="428" t="s">
        <v>82</v>
      </c>
      <c r="D34" s="428" t="s">
        <v>24</v>
      </c>
      <c r="E34" s="428"/>
      <c r="F34" s="428"/>
      <c r="G34" s="428"/>
      <c r="H34" s="428"/>
      <c r="I34" s="428"/>
      <c r="J34" s="428"/>
      <c r="K34" s="428"/>
      <c r="L34" s="428"/>
      <c r="M34" s="428"/>
      <c r="N34" s="428" t="s">
        <v>25</v>
      </c>
    </row>
    <row r="35" spans="1:14" ht="15" customHeight="1">
      <c r="B35" s="404"/>
      <c r="C35" s="428"/>
      <c r="D35" s="430" t="s">
        <v>26</v>
      </c>
      <c r="E35" s="432"/>
      <c r="F35" s="430" t="s">
        <v>27</v>
      </c>
      <c r="G35" s="432"/>
      <c r="H35" s="430" t="s">
        <v>28</v>
      </c>
      <c r="I35" s="432"/>
      <c r="J35" s="430" t="s">
        <v>29</v>
      </c>
      <c r="K35" s="432"/>
      <c r="L35" s="430" t="s">
        <v>30</v>
      </c>
      <c r="M35" s="432"/>
      <c r="N35" s="428"/>
    </row>
    <row r="36" spans="1:14">
      <c r="B36" s="423"/>
      <c r="C36" s="429"/>
      <c r="D36" s="45" t="s">
        <v>208</v>
      </c>
      <c r="E36" s="45" t="s">
        <v>209</v>
      </c>
      <c r="F36" s="45" t="s">
        <v>208</v>
      </c>
      <c r="G36" s="45" t="s">
        <v>209</v>
      </c>
      <c r="H36" s="45" t="s">
        <v>208</v>
      </c>
      <c r="I36" s="45" t="s">
        <v>209</v>
      </c>
      <c r="J36" s="45" t="s">
        <v>208</v>
      </c>
      <c r="K36" s="45" t="s">
        <v>209</v>
      </c>
      <c r="L36" s="45" t="s">
        <v>208</v>
      </c>
      <c r="M36" s="45" t="s">
        <v>209</v>
      </c>
      <c r="N36" s="429"/>
    </row>
    <row r="37" spans="1:14">
      <c r="B37" s="68">
        <v>1</v>
      </c>
      <c r="C37" s="10" t="s">
        <v>96</v>
      </c>
      <c r="D37" s="114">
        <f>'F5'!F33</f>
        <v>9706.368958862864</v>
      </c>
      <c r="E37" s="114">
        <f t="shared" ref="E37:E55" si="4">D37/12</f>
        <v>808.86407990523867</v>
      </c>
      <c r="F37" s="114">
        <f>'F5'!I33</f>
        <v>10072.884711877621</v>
      </c>
      <c r="G37" s="114">
        <f t="shared" ref="G37:G55" si="5">F37/12</f>
        <v>839.40705932313506</v>
      </c>
      <c r="H37" s="114">
        <f>'F5'!L33</f>
        <v>11754.958642172774</v>
      </c>
      <c r="I37" s="114">
        <f t="shared" ref="I37:I55" si="6">H37/12</f>
        <v>979.57988684773125</v>
      </c>
      <c r="J37" s="114">
        <f>'F5'!O33</f>
        <v>13146.567307485791</v>
      </c>
      <c r="K37" s="114">
        <f t="shared" ref="K37:K55" si="7">J37/12</f>
        <v>1095.5472756238159</v>
      </c>
      <c r="L37" s="114">
        <f>'F5'!R33</f>
        <v>14230.58064238334</v>
      </c>
      <c r="M37" s="84">
        <f t="shared" ref="M37:M55" si="8">L37/12</f>
        <v>1185.8817201986117</v>
      </c>
      <c r="N37" s="10"/>
    </row>
    <row r="38" spans="1:14" ht="15" customHeight="1">
      <c r="B38" s="68">
        <v>2</v>
      </c>
      <c r="C38" s="10" t="s">
        <v>97</v>
      </c>
      <c r="D38" s="114">
        <f>'F5'!F34</f>
        <v>468.46225374232972</v>
      </c>
      <c r="E38" s="114">
        <f t="shared" si="4"/>
        <v>39.038521145194146</v>
      </c>
      <c r="F38" s="114">
        <f>'F5'!I34</f>
        <v>429.30710041137991</v>
      </c>
      <c r="G38" s="114">
        <f t="shared" si="5"/>
        <v>35.775591700948326</v>
      </c>
      <c r="H38" s="114">
        <f>'F5'!L34</f>
        <v>507.80466409117594</v>
      </c>
      <c r="I38" s="114">
        <f t="shared" si="6"/>
        <v>42.317055340931326</v>
      </c>
      <c r="J38" s="114">
        <f>'F5'!O34</f>
        <v>576.30566963470233</v>
      </c>
      <c r="K38" s="114">
        <f t="shared" si="7"/>
        <v>48.02547246955853</v>
      </c>
      <c r="L38" s="114">
        <f>'F5'!R34</f>
        <v>633.88841246189963</v>
      </c>
      <c r="M38" s="84">
        <f t="shared" si="8"/>
        <v>52.824034371824972</v>
      </c>
      <c r="N38" s="10"/>
    </row>
    <row r="39" spans="1:14">
      <c r="B39" s="68">
        <v>3</v>
      </c>
      <c r="C39" s="10" t="s">
        <v>98</v>
      </c>
      <c r="D39" s="114">
        <f>'F5'!F35</f>
        <v>873.40314598520183</v>
      </c>
      <c r="E39" s="114">
        <f t="shared" si="4"/>
        <v>72.783595498766815</v>
      </c>
      <c r="F39" s="114">
        <f>'F5'!I35</f>
        <v>785.02698666241599</v>
      </c>
      <c r="G39" s="114">
        <f t="shared" si="5"/>
        <v>65.418915555201337</v>
      </c>
      <c r="H39" s="114">
        <f>'F5'!L35</f>
        <v>933.76089200191723</v>
      </c>
      <c r="I39" s="114">
        <f t="shared" si="6"/>
        <v>77.813407666826436</v>
      </c>
      <c r="J39" s="114">
        <f>'F5'!O35</f>
        <v>1065.6494558483089</v>
      </c>
      <c r="K39" s="114">
        <f t="shared" si="7"/>
        <v>88.804121320692403</v>
      </c>
      <c r="L39" s="114">
        <f>'F5'!R35</f>
        <v>1178.682317593916</v>
      </c>
      <c r="M39" s="84">
        <f t="shared" si="8"/>
        <v>98.223526466159669</v>
      </c>
      <c r="N39" s="10"/>
    </row>
    <row r="40" spans="1:14">
      <c r="B40" s="68">
        <v>4</v>
      </c>
      <c r="C40" s="10" t="s">
        <v>99</v>
      </c>
      <c r="D40" s="114">
        <f>'F5'!F36</f>
        <v>447.82061102472659</v>
      </c>
      <c r="E40" s="114">
        <f t="shared" si="4"/>
        <v>37.318384252060547</v>
      </c>
      <c r="F40" s="114">
        <f>'F5'!I36</f>
        <v>363.51489824349909</v>
      </c>
      <c r="G40" s="114">
        <f t="shared" si="5"/>
        <v>30.292908186958257</v>
      </c>
      <c r="H40" s="114">
        <f>'F5'!L36</f>
        <v>408.17077696755774</v>
      </c>
      <c r="I40" s="114">
        <f t="shared" si="6"/>
        <v>34.014231413963145</v>
      </c>
      <c r="J40" s="114">
        <f>'F5'!O36</f>
        <v>439.73313727374097</v>
      </c>
      <c r="K40" s="114">
        <f t="shared" si="7"/>
        <v>36.644428106145078</v>
      </c>
      <c r="L40" s="114">
        <f>'F5'!R36</f>
        <v>459.13478230753213</v>
      </c>
      <c r="M40" s="84">
        <f t="shared" si="8"/>
        <v>38.261231858961011</v>
      </c>
      <c r="N40" s="10"/>
    </row>
    <row r="41" spans="1:14">
      <c r="B41" s="68">
        <v>5</v>
      </c>
      <c r="C41" s="10" t="s">
        <v>100</v>
      </c>
      <c r="D41" s="114">
        <f>'F5'!F37</f>
        <v>271.50208665188592</v>
      </c>
      <c r="E41" s="114">
        <f t="shared" si="4"/>
        <v>22.625173887657159</v>
      </c>
      <c r="F41" s="114">
        <f>'F5'!I37</f>
        <v>235.89814403831306</v>
      </c>
      <c r="G41" s="114">
        <f t="shared" si="5"/>
        <v>19.658178669859421</v>
      </c>
      <c r="H41" s="114">
        <f>'F5'!L37</f>
        <v>275.48883810579292</v>
      </c>
      <c r="I41" s="114">
        <f t="shared" si="6"/>
        <v>22.957403175482742</v>
      </c>
      <c r="J41" s="114">
        <f>'F5'!O37</f>
        <v>308.68184214662773</v>
      </c>
      <c r="K41" s="114">
        <f t="shared" si="7"/>
        <v>25.723486845552312</v>
      </c>
      <c r="L41" s="114">
        <f>'F5'!R37</f>
        <v>335.21378778534535</v>
      </c>
      <c r="M41" s="84">
        <f t="shared" si="8"/>
        <v>27.934482315445447</v>
      </c>
      <c r="N41" s="10"/>
    </row>
    <row r="42" spans="1:14">
      <c r="B42" s="68">
        <v>6</v>
      </c>
      <c r="C42" s="10" t="s">
        <v>101</v>
      </c>
      <c r="D42" s="114">
        <f>'F5'!F38</f>
        <v>7.1287634969277001</v>
      </c>
      <c r="E42" s="114">
        <f t="shared" si="4"/>
        <v>0.59406362474397501</v>
      </c>
      <c r="F42" s="114">
        <f>'F5'!I38</f>
        <v>4.2583616330018579</v>
      </c>
      <c r="G42" s="114">
        <f t="shared" si="5"/>
        <v>0.35486346941682151</v>
      </c>
      <c r="H42" s="114">
        <f>'F5'!L38</f>
        <v>4.8116091864795019</v>
      </c>
      <c r="I42" s="114">
        <f t="shared" si="6"/>
        <v>0.40096743220662517</v>
      </c>
      <c r="J42" s="114">
        <f>'F5'!O38</f>
        <v>5.2163382254896575</v>
      </c>
      <c r="K42" s="114">
        <f t="shared" si="7"/>
        <v>0.43469485212413811</v>
      </c>
      <c r="L42" s="114">
        <f>'F5'!R38</f>
        <v>5.4808113637573026</v>
      </c>
      <c r="M42" s="84">
        <f t="shared" si="8"/>
        <v>0.45673428031310853</v>
      </c>
      <c r="N42" s="10"/>
    </row>
    <row r="43" spans="1:14">
      <c r="B43" s="68">
        <v>7</v>
      </c>
      <c r="C43" s="10" t="s">
        <v>102</v>
      </c>
      <c r="D43" s="114">
        <f>'F5'!F39</f>
        <v>3.6893157464500108</v>
      </c>
      <c r="E43" s="114">
        <f t="shared" si="4"/>
        <v>0.30744297887083422</v>
      </c>
      <c r="F43" s="114">
        <f>'F5'!I39</f>
        <v>2.1629776351177803</v>
      </c>
      <c r="G43" s="114">
        <f t="shared" si="5"/>
        <v>0.18024813625981503</v>
      </c>
      <c r="H43" s="114">
        <f>'F5'!L39</f>
        <v>2.4640182119662439</v>
      </c>
      <c r="I43" s="114">
        <f t="shared" si="6"/>
        <v>0.20533485099718699</v>
      </c>
      <c r="J43" s="114">
        <f>'F5'!O39</f>
        <v>2.6931676591968539</v>
      </c>
      <c r="K43" s="114">
        <f t="shared" si="7"/>
        <v>0.2244306382664045</v>
      </c>
      <c r="L43" s="114">
        <f>'F5'!R39</f>
        <v>2.8529002158491918</v>
      </c>
      <c r="M43" s="84">
        <f t="shared" si="8"/>
        <v>0.23774168465409931</v>
      </c>
      <c r="N43" s="10"/>
    </row>
    <row r="44" spans="1:14">
      <c r="B44" s="68">
        <v>8</v>
      </c>
      <c r="C44" s="10" t="s">
        <v>103</v>
      </c>
      <c r="D44" s="114">
        <f>'F5'!F40</f>
        <v>3.383923878532995</v>
      </c>
      <c r="E44" s="114">
        <f t="shared" si="4"/>
        <v>0.28199365654441627</v>
      </c>
      <c r="F44" s="114">
        <f>'F5'!I40</f>
        <v>2.3658771461845736</v>
      </c>
      <c r="G44" s="114">
        <f t="shared" si="5"/>
        <v>0.19715642884871445</v>
      </c>
      <c r="H44" s="114">
        <f>'F5'!L40</f>
        <v>2.6712132478352579</v>
      </c>
      <c r="I44" s="114">
        <f t="shared" si="6"/>
        <v>0.2226011039862715</v>
      </c>
      <c r="J44" s="114">
        <f>'F5'!O40</f>
        <v>2.893693464344905</v>
      </c>
      <c r="K44" s="114">
        <f t="shared" si="7"/>
        <v>0.24114112202874208</v>
      </c>
      <c r="L44" s="114">
        <f>'F5'!R40</f>
        <v>3.0380869621979913</v>
      </c>
      <c r="M44" s="84">
        <f t="shared" si="8"/>
        <v>0.25317391351649926</v>
      </c>
      <c r="N44" s="10"/>
    </row>
    <row r="45" spans="1:14">
      <c r="B45" s="68">
        <v>9</v>
      </c>
      <c r="C45" s="10" t="s">
        <v>104</v>
      </c>
      <c r="D45" s="114">
        <f>'F5'!F41</f>
        <v>2.6911636620320376</v>
      </c>
      <c r="E45" s="114">
        <f t="shared" si="4"/>
        <v>0.22426363850266981</v>
      </c>
      <c r="F45" s="114">
        <f>'F5'!I41</f>
        <v>4.0514465820809766</v>
      </c>
      <c r="G45" s="114">
        <f t="shared" si="5"/>
        <v>0.33762054850674805</v>
      </c>
      <c r="H45" s="114">
        <f>'F5'!L41</f>
        <v>5.3335834412333583</v>
      </c>
      <c r="I45" s="114">
        <f t="shared" si="6"/>
        <v>0.44446528676944652</v>
      </c>
      <c r="J45" s="114">
        <f>'F5'!O41</f>
        <v>6.736831159822156</v>
      </c>
      <c r="K45" s="114">
        <f t="shared" si="7"/>
        <v>0.56140259665184633</v>
      </c>
      <c r="L45" s="114">
        <f>'F5'!R41</f>
        <v>8.2469990865733234</v>
      </c>
      <c r="M45" s="84">
        <f t="shared" si="8"/>
        <v>0.68724992388111028</v>
      </c>
      <c r="N45" s="10"/>
    </row>
    <row r="46" spans="1:14">
      <c r="B46" s="68">
        <v>10</v>
      </c>
      <c r="C46" s="10" t="s">
        <v>105</v>
      </c>
      <c r="D46" s="114">
        <f>'F5'!F42</f>
        <v>6.0880639618623871</v>
      </c>
      <c r="E46" s="114">
        <f t="shared" si="4"/>
        <v>0.50733866348853229</v>
      </c>
      <c r="F46" s="114">
        <f>'F5'!I42</f>
        <v>6.4814715038453707</v>
      </c>
      <c r="G46" s="114">
        <f t="shared" si="5"/>
        <v>0.54012262532044752</v>
      </c>
      <c r="H46" s="114">
        <f>'F5'!L42</f>
        <v>7.748475933975004</v>
      </c>
      <c r="I46" s="114">
        <f t="shared" si="6"/>
        <v>0.64570632783125037</v>
      </c>
      <c r="J46" s="114">
        <f>'F5'!O42</f>
        <v>8.8876420214948606</v>
      </c>
      <c r="K46" s="114">
        <f t="shared" si="7"/>
        <v>0.74063683512457168</v>
      </c>
      <c r="L46" s="114">
        <f>'F5'!R42</f>
        <v>9.8800816333227708</v>
      </c>
      <c r="M46" s="84">
        <f t="shared" si="8"/>
        <v>0.82334013611023094</v>
      </c>
      <c r="N46" s="10"/>
    </row>
    <row r="47" spans="1:14">
      <c r="B47" s="68">
        <v>11</v>
      </c>
      <c r="C47" s="10" t="s">
        <v>106</v>
      </c>
      <c r="D47" s="114">
        <f>'F5'!F43</f>
        <v>3.108518060028552</v>
      </c>
      <c r="E47" s="114">
        <f t="shared" si="4"/>
        <v>0.259043171669046</v>
      </c>
      <c r="F47" s="114">
        <f>'F5'!I43</f>
        <v>3.5775407589878609</v>
      </c>
      <c r="G47" s="114">
        <f t="shared" si="5"/>
        <v>0.29812839658232176</v>
      </c>
      <c r="H47" s="114">
        <f>'F5'!L43</f>
        <v>3.9600758781434116</v>
      </c>
      <c r="I47" s="114">
        <f t="shared" si="6"/>
        <v>0.33000632317861761</v>
      </c>
      <c r="J47" s="114">
        <f>'F5'!O43</f>
        <v>4.2058135621813308</v>
      </c>
      <c r="K47" s="114">
        <f t="shared" si="7"/>
        <v>0.35048446351511092</v>
      </c>
      <c r="L47" s="114">
        <f>'F5'!R43</f>
        <v>4.3291261461273667</v>
      </c>
      <c r="M47" s="84">
        <f t="shared" si="8"/>
        <v>0.36076051217728056</v>
      </c>
      <c r="N47" s="10"/>
    </row>
    <row r="48" spans="1:14">
      <c r="B48" s="68">
        <v>12</v>
      </c>
      <c r="C48" s="10" t="s">
        <v>107</v>
      </c>
      <c r="D48" s="114">
        <f>'F5'!F44</f>
        <v>1.8260800502383194</v>
      </c>
      <c r="E48" s="114">
        <f t="shared" si="4"/>
        <v>0.15217333751985995</v>
      </c>
      <c r="F48" s="114">
        <f>'F5'!I44</f>
        <v>2.3996607342208209</v>
      </c>
      <c r="G48" s="114">
        <f t="shared" si="5"/>
        <v>0.19997172785173509</v>
      </c>
      <c r="H48" s="114">
        <f>'F5'!L44</f>
        <v>2.6562488674494582</v>
      </c>
      <c r="I48" s="114">
        <f t="shared" si="6"/>
        <v>0.22135407228745485</v>
      </c>
      <c r="J48" s="114">
        <f>'F5'!O44</f>
        <v>2.8210791547977392</v>
      </c>
      <c r="K48" s="114">
        <f t="shared" si="7"/>
        <v>0.23508992956647826</v>
      </c>
      <c r="L48" s="114">
        <f>'F5'!R44</f>
        <v>2.9037919415038589</v>
      </c>
      <c r="M48" s="84">
        <f t="shared" si="8"/>
        <v>0.24198266179198824</v>
      </c>
      <c r="N48" s="10"/>
    </row>
    <row r="49" spans="1:14">
      <c r="B49" s="68">
        <v>13</v>
      </c>
      <c r="C49" s="10" t="s">
        <v>108</v>
      </c>
      <c r="D49" s="114">
        <f>'F5'!F45</f>
        <v>0.52568595410272168</v>
      </c>
      <c r="E49" s="114">
        <f t="shared" si="4"/>
        <v>4.3807162841893475E-2</v>
      </c>
      <c r="F49" s="114">
        <f>'F5'!I45</f>
        <v>0.75280664944528886</v>
      </c>
      <c r="G49" s="114">
        <f t="shared" si="5"/>
        <v>6.2733887453774076E-2</v>
      </c>
      <c r="H49" s="114">
        <f>'F5'!L45</f>
        <v>0.93206463441618082</v>
      </c>
      <c r="I49" s="114">
        <f t="shared" si="6"/>
        <v>7.7672052868015068E-2</v>
      </c>
      <c r="J49" s="114">
        <f>'F5'!O45</f>
        <v>1.1072258221051841</v>
      </c>
      <c r="K49" s="114">
        <f t="shared" si="7"/>
        <v>9.2268818508765338E-2</v>
      </c>
      <c r="L49" s="114">
        <f>'F5'!R45</f>
        <v>1.2747648960900106</v>
      </c>
      <c r="M49" s="84">
        <f t="shared" si="8"/>
        <v>0.10623040800750089</v>
      </c>
      <c r="N49" s="10"/>
    </row>
    <row r="50" spans="1:14">
      <c r="B50" s="68">
        <v>14</v>
      </c>
      <c r="C50" s="10" t="s">
        <v>109</v>
      </c>
      <c r="D50" s="114">
        <f>'F5'!F46</f>
        <v>0.19268877640348842</v>
      </c>
      <c r="E50" s="114">
        <f t="shared" si="4"/>
        <v>1.6057398033624035E-2</v>
      </c>
      <c r="F50" s="114">
        <f>'F5'!I46</f>
        <v>0.28054500449050784</v>
      </c>
      <c r="G50" s="114">
        <f t="shared" si="5"/>
        <v>2.3378750374208987E-2</v>
      </c>
      <c r="H50" s="114">
        <f>'F5'!L46</f>
        <v>0.32623361424379249</v>
      </c>
      <c r="I50" s="114">
        <f t="shared" si="6"/>
        <v>2.7186134520316041E-2</v>
      </c>
      <c r="J50" s="114">
        <f>'F5'!O46</f>
        <v>0.36398414627479025</v>
      </c>
      <c r="K50" s="114">
        <f t="shared" si="7"/>
        <v>3.0332012189565855E-2</v>
      </c>
      <c r="L50" s="114">
        <f>'F5'!R46</f>
        <v>0.39358627214154385</v>
      </c>
      <c r="M50" s="84">
        <f t="shared" si="8"/>
        <v>3.2798856011795323E-2</v>
      </c>
      <c r="N50" s="10"/>
    </row>
    <row r="51" spans="1:14">
      <c r="B51" s="68">
        <v>15</v>
      </c>
      <c r="C51" s="10" t="s">
        <v>110</v>
      </c>
      <c r="D51" s="114">
        <f>'F5'!F47</f>
        <v>12.833426774992651</v>
      </c>
      <c r="E51" s="114">
        <f t="shared" si="4"/>
        <v>1.0694522312493875</v>
      </c>
      <c r="F51" s="114">
        <f>'F5'!I47</f>
        <v>12.808969327001003</v>
      </c>
      <c r="G51" s="114">
        <f t="shared" si="5"/>
        <v>1.067414110583417</v>
      </c>
      <c r="H51" s="114">
        <f>'F5'!L47</f>
        <v>14.79383159736037</v>
      </c>
      <c r="I51" s="114">
        <f t="shared" si="6"/>
        <v>1.2328192997800309</v>
      </c>
      <c r="J51" s="114">
        <f>'F5'!O47</f>
        <v>16.393615633447148</v>
      </c>
      <c r="K51" s="114">
        <f t="shared" si="7"/>
        <v>1.3661346361205957</v>
      </c>
      <c r="L51" s="114">
        <f>'F5'!R47</f>
        <v>17.606480096439299</v>
      </c>
      <c r="M51" s="84">
        <f t="shared" si="8"/>
        <v>1.4672066747032748</v>
      </c>
      <c r="N51" s="18"/>
    </row>
    <row r="52" spans="1:14">
      <c r="B52" s="68">
        <v>16</v>
      </c>
      <c r="C52" s="65" t="s">
        <v>111</v>
      </c>
      <c r="D52" s="114">
        <f>'F5'!F48</f>
        <v>6.9993486168622363</v>
      </c>
      <c r="E52" s="114">
        <f t="shared" si="4"/>
        <v>0.58327905140518632</v>
      </c>
      <c r="F52" s="114">
        <f>'F5'!I48</f>
        <v>6.9585428051734759</v>
      </c>
      <c r="G52" s="114">
        <f t="shared" si="5"/>
        <v>0.57987856709778962</v>
      </c>
      <c r="H52" s="114">
        <f>'F5'!L48</f>
        <v>8.0052319046842264</v>
      </c>
      <c r="I52" s="114">
        <f t="shared" si="6"/>
        <v>0.66710265872368557</v>
      </c>
      <c r="J52" s="114">
        <f>'F5'!O48</f>
        <v>8.8360288393561923</v>
      </c>
      <c r="K52" s="114">
        <f t="shared" si="7"/>
        <v>0.73633573661301599</v>
      </c>
      <c r="L52" s="114">
        <f>'F5'!R48</f>
        <v>9.4524425358630175</v>
      </c>
      <c r="M52" s="84">
        <f t="shared" si="8"/>
        <v>0.7877035446552515</v>
      </c>
      <c r="N52" s="18"/>
    </row>
    <row r="53" spans="1:14">
      <c r="B53" s="68">
        <v>17</v>
      </c>
      <c r="C53" s="65" t="s">
        <v>112</v>
      </c>
      <c r="D53" s="114">
        <f>'F5'!F49</f>
        <v>4.901329486217314</v>
      </c>
      <c r="E53" s="114">
        <f t="shared" si="4"/>
        <v>0.40844412385144285</v>
      </c>
      <c r="F53" s="114">
        <f>'F5'!I49</f>
        <v>4.8727550089356253</v>
      </c>
      <c r="G53" s="114">
        <f t="shared" si="5"/>
        <v>0.40606291741130213</v>
      </c>
      <c r="H53" s="114">
        <f>'F5'!L49</f>
        <v>5.6057043771061323</v>
      </c>
      <c r="I53" s="114">
        <f t="shared" si="6"/>
        <v>0.46714203142551103</v>
      </c>
      <c r="J53" s="114">
        <f>'F5'!O49</f>
        <v>6.1874741582478689</v>
      </c>
      <c r="K53" s="114">
        <f t="shared" si="7"/>
        <v>0.51562284652065571</v>
      </c>
      <c r="L53" s="114">
        <f>'F5'!R49</f>
        <v>6.6191209859424607</v>
      </c>
      <c r="M53" s="84">
        <f t="shared" si="8"/>
        <v>0.55159341549520502</v>
      </c>
      <c r="N53" s="18"/>
    </row>
    <row r="54" spans="1:14">
      <c r="B54" s="68">
        <v>18</v>
      </c>
      <c r="C54" s="65" t="s">
        <v>167</v>
      </c>
      <c r="D54" s="114">
        <f>'F5'!F50</f>
        <v>9.2289695133338085</v>
      </c>
      <c r="E54" s="114">
        <f t="shared" si="4"/>
        <v>0.76908079277781738</v>
      </c>
      <c r="F54" s="114">
        <f>'F5'!I50</f>
        <v>8.8283022223343757</v>
      </c>
      <c r="G54" s="114">
        <f t="shared" si="5"/>
        <v>0.73569185186119801</v>
      </c>
      <c r="H54" s="114">
        <f>'F5'!L50</f>
        <v>9.7722846588943231</v>
      </c>
      <c r="I54" s="114">
        <f t="shared" si="6"/>
        <v>0.81435705490786026</v>
      </c>
      <c r="J54" s="114">
        <f>'F5'!O50</f>
        <v>10.378691877778682</v>
      </c>
      <c r="K54" s="114">
        <f t="shared" si="7"/>
        <v>0.8648909898148901</v>
      </c>
      <c r="L54" s="114">
        <f>'F5'!R50</f>
        <v>10.682990509781012</v>
      </c>
      <c r="M54" s="84">
        <f t="shared" si="8"/>
        <v>0.89024920914841765</v>
      </c>
      <c r="N54" s="18"/>
    </row>
    <row r="55" spans="1:14">
      <c r="B55" s="68">
        <v>19</v>
      </c>
      <c r="C55" s="65" t="s">
        <v>168</v>
      </c>
      <c r="D55" s="114">
        <f>'F5'!F51</f>
        <v>9.2289695133338085</v>
      </c>
      <c r="E55" s="114">
        <f t="shared" si="4"/>
        <v>0.76908079277781738</v>
      </c>
      <c r="F55" s="114">
        <f>'F5'!I51</f>
        <v>8.8283022223343757</v>
      </c>
      <c r="G55" s="114">
        <f t="shared" si="5"/>
        <v>0.73569185186119801</v>
      </c>
      <c r="H55" s="114">
        <f>'F5'!L51</f>
        <v>9.7722846588943231</v>
      </c>
      <c r="I55" s="114">
        <f t="shared" si="6"/>
        <v>0.81435705490786026</v>
      </c>
      <c r="J55" s="114">
        <f>'F5'!O51</f>
        <v>10.378691877778682</v>
      </c>
      <c r="K55" s="114">
        <f t="shared" si="7"/>
        <v>0.8648909898148901</v>
      </c>
      <c r="L55" s="114">
        <f>'F5'!R51</f>
        <v>10.682990509781012</v>
      </c>
      <c r="M55" s="84">
        <f t="shared" si="8"/>
        <v>0.89024920914841765</v>
      </c>
      <c r="N55" s="18"/>
    </row>
    <row r="56" spans="1:14">
      <c r="B56" s="56"/>
      <c r="C56" s="55" t="s">
        <v>191</v>
      </c>
      <c r="D56" s="115">
        <f>SUM(D37:D55)</f>
        <v>11839.383303758324</v>
      </c>
      <c r="E56" s="115">
        <f t="shared" ref="E56:M56" si="9">SUM(E37:E55)</f>
        <v>986.61527531319393</v>
      </c>
      <c r="F56" s="115">
        <f t="shared" si="9"/>
        <v>11955.259400466386</v>
      </c>
      <c r="G56" s="115">
        <f t="shared" si="9"/>
        <v>996.27161670553221</v>
      </c>
      <c r="H56" s="115">
        <f t="shared" si="9"/>
        <v>13959.036673551904</v>
      </c>
      <c r="I56" s="115">
        <f t="shared" si="9"/>
        <v>1163.2530561293249</v>
      </c>
      <c r="J56" s="115">
        <f t="shared" si="9"/>
        <v>15624.037689991486</v>
      </c>
      <c r="K56" s="115">
        <f t="shared" si="9"/>
        <v>1302.0031408326242</v>
      </c>
      <c r="L56" s="115">
        <f t="shared" si="9"/>
        <v>16930.944115687398</v>
      </c>
      <c r="M56" s="115">
        <f t="shared" si="9"/>
        <v>1410.912009640617</v>
      </c>
      <c r="N56" s="18"/>
    </row>
    <row r="60" spans="1:14">
      <c r="A60" s="245" t="s">
        <v>210</v>
      </c>
      <c r="M60" s="8" t="s">
        <v>21</v>
      </c>
    </row>
    <row r="61" spans="1:14">
      <c r="B61" s="403" t="s">
        <v>2</v>
      </c>
      <c r="C61" s="428" t="s">
        <v>82</v>
      </c>
      <c r="D61" s="428" t="s">
        <v>24</v>
      </c>
      <c r="E61" s="428"/>
      <c r="F61" s="428"/>
      <c r="G61" s="428"/>
      <c r="H61" s="428"/>
      <c r="I61" s="428"/>
      <c r="J61" s="428"/>
      <c r="K61" s="428"/>
      <c r="L61" s="428"/>
      <c r="M61" s="428"/>
      <c r="N61" s="428" t="s">
        <v>25</v>
      </c>
    </row>
    <row r="62" spans="1:14">
      <c r="B62" s="404"/>
      <c r="C62" s="428"/>
      <c r="D62" s="430" t="s">
        <v>26</v>
      </c>
      <c r="E62" s="432"/>
      <c r="F62" s="430" t="s">
        <v>27</v>
      </c>
      <c r="G62" s="432"/>
      <c r="H62" s="430" t="s">
        <v>28</v>
      </c>
      <c r="I62" s="432"/>
      <c r="J62" s="430" t="s">
        <v>29</v>
      </c>
      <c r="K62" s="432"/>
      <c r="L62" s="430" t="s">
        <v>30</v>
      </c>
      <c r="M62" s="432"/>
      <c r="N62" s="428"/>
    </row>
    <row r="63" spans="1:14">
      <c r="B63" s="423"/>
      <c r="C63" s="429"/>
      <c r="D63" s="45" t="s">
        <v>208</v>
      </c>
      <c r="E63" s="45" t="s">
        <v>209</v>
      </c>
      <c r="F63" s="45" t="s">
        <v>208</v>
      </c>
      <c r="G63" s="45" t="s">
        <v>209</v>
      </c>
      <c r="H63" s="45" t="s">
        <v>208</v>
      </c>
      <c r="I63" s="45" t="s">
        <v>209</v>
      </c>
      <c r="J63" s="45" t="s">
        <v>208</v>
      </c>
      <c r="K63" s="45" t="s">
        <v>209</v>
      </c>
      <c r="L63" s="45" t="s">
        <v>208</v>
      </c>
      <c r="M63" s="45" t="s">
        <v>209</v>
      </c>
      <c r="N63" s="429"/>
    </row>
    <row r="64" spans="1:14">
      <c r="B64" s="68">
        <v>1</v>
      </c>
      <c r="C64" s="10" t="s">
        <v>96</v>
      </c>
      <c r="D64" s="114">
        <f>'F5'!F60</f>
        <v>9778.2404636944393</v>
      </c>
      <c r="E64" s="114">
        <f>D64/12</f>
        <v>814.85337197453657</v>
      </c>
      <c r="F64" s="114">
        <f>'F5'!I60</f>
        <v>10155.851195214931</v>
      </c>
      <c r="G64" s="114">
        <f>F64/12</f>
        <v>846.32093293457763</v>
      </c>
      <c r="H64" s="114">
        <f>'F5'!L60</f>
        <v>11865.836350551419</v>
      </c>
      <c r="I64" s="114">
        <f>H64/12</f>
        <v>988.81969587928495</v>
      </c>
      <c r="J64" s="114">
        <f>'F5'!O60</f>
        <v>13288.80363600696</v>
      </c>
      <c r="K64" s="114">
        <f>J64/12</f>
        <v>1107.4003030005799</v>
      </c>
      <c r="L64" s="114">
        <f>'F5'!R60</f>
        <v>14407.499532262769</v>
      </c>
      <c r="M64" s="84">
        <f>L64/12</f>
        <v>1200.6249610218974</v>
      </c>
      <c r="N64" s="10"/>
    </row>
    <row r="65" spans="2:14">
      <c r="B65" s="68">
        <v>2</v>
      </c>
      <c r="C65" s="10" t="s">
        <v>97</v>
      </c>
      <c r="D65" s="114">
        <f>'F5'!F61</f>
        <v>452.24514761991418</v>
      </c>
      <c r="E65" s="114">
        <f t="shared" ref="E65:E82" si="10">D65/12</f>
        <v>37.687095634992851</v>
      </c>
      <c r="F65" s="114">
        <f>'F5'!I61</f>
        <v>410.38520318826477</v>
      </c>
      <c r="G65" s="114">
        <f t="shared" ref="G65:G82" si="11">F65/12</f>
        <v>34.198766932355397</v>
      </c>
      <c r="H65" s="114">
        <f>'F5'!L61</f>
        <v>482.25919035711445</v>
      </c>
      <c r="I65" s="114">
        <f t="shared" ref="I65:I82" si="12">H65/12</f>
        <v>40.188265863092873</v>
      </c>
      <c r="J65" s="114">
        <f>'F5'!O61</f>
        <v>543.21885530440591</v>
      </c>
      <c r="K65" s="114">
        <f t="shared" ref="K65:K82" si="13">J65/12</f>
        <v>45.268237942033828</v>
      </c>
      <c r="L65" s="114">
        <f>'F5'!R61</f>
        <v>592.35813872324218</v>
      </c>
      <c r="M65" s="84">
        <f t="shared" ref="M65:M82" si="14">L65/12</f>
        <v>49.363178226936846</v>
      </c>
      <c r="N65" s="10"/>
    </row>
    <row r="66" spans="2:14">
      <c r="B66" s="68">
        <v>3</v>
      </c>
      <c r="C66" s="10" t="s">
        <v>98</v>
      </c>
      <c r="D66" s="114">
        <f>'F5'!F62</f>
        <v>843.91364702355565</v>
      </c>
      <c r="E66" s="114">
        <f t="shared" si="10"/>
        <v>70.326137251962976</v>
      </c>
      <c r="F66" s="114">
        <f>'F5'!I62</f>
        <v>750.42658069483684</v>
      </c>
      <c r="G66" s="114">
        <f t="shared" si="11"/>
        <v>62.535548391236404</v>
      </c>
      <c r="H66" s="114">
        <f>'F5'!L62</f>
        <v>886.78738815823067</v>
      </c>
      <c r="I66" s="114">
        <f t="shared" si="12"/>
        <v>73.898949013185884</v>
      </c>
      <c r="J66" s="114">
        <f>'F5'!O62</f>
        <v>1004.4684757805896</v>
      </c>
      <c r="K66" s="114">
        <f t="shared" si="13"/>
        <v>83.705706315049142</v>
      </c>
      <c r="L66" s="114">
        <f>'F5'!R62</f>
        <v>1101.4589477732336</v>
      </c>
      <c r="M66" s="84">
        <f t="shared" si="14"/>
        <v>91.788245647769472</v>
      </c>
      <c r="N66" s="10"/>
    </row>
    <row r="67" spans="2:14">
      <c r="B67" s="68">
        <v>4</v>
      </c>
      <c r="C67" s="10" t="s">
        <v>99</v>
      </c>
      <c r="D67" s="114">
        <f>'F5'!F63</f>
        <v>433.35501200761502</v>
      </c>
      <c r="E67" s="114">
        <f t="shared" si="10"/>
        <v>36.112917667301254</v>
      </c>
      <c r="F67" s="114">
        <f>'F5'!I63</f>
        <v>347.49282095420324</v>
      </c>
      <c r="G67" s="114">
        <f t="shared" si="11"/>
        <v>28.957735079516937</v>
      </c>
      <c r="H67" s="114">
        <f>'F5'!L63</f>
        <v>387.63745658008673</v>
      </c>
      <c r="I67" s="114">
        <f t="shared" si="12"/>
        <v>32.303121381673897</v>
      </c>
      <c r="J67" s="114">
        <f>'F5'!O63</f>
        <v>414.48721408669809</v>
      </c>
      <c r="K67" s="114">
        <f t="shared" si="13"/>
        <v>34.54060117389151</v>
      </c>
      <c r="L67" s="114">
        <f>'F5'!R63</f>
        <v>429.05378884353382</v>
      </c>
      <c r="M67" s="84">
        <f t="shared" si="14"/>
        <v>35.754482403627819</v>
      </c>
      <c r="N67" s="10"/>
    </row>
    <row r="68" spans="2:14">
      <c r="B68" s="68">
        <v>5</v>
      </c>
      <c r="C68" s="10" t="s">
        <v>100</v>
      </c>
      <c r="D68" s="114">
        <f>'F5'!F64</f>
        <v>262.47642722343033</v>
      </c>
      <c r="E68" s="114">
        <f t="shared" si="10"/>
        <v>21.873035601952527</v>
      </c>
      <c r="F68" s="114">
        <f>'F5'!I64</f>
        <v>225.5008307110019</v>
      </c>
      <c r="G68" s="114">
        <f t="shared" si="11"/>
        <v>18.791735892583493</v>
      </c>
      <c r="H68" s="114">
        <f>'F5'!L64</f>
        <v>261.63017674344849</v>
      </c>
      <c r="I68" s="114">
        <f t="shared" si="12"/>
        <v>21.802514728620707</v>
      </c>
      <c r="J68" s="114">
        <f>'F5'!O64</f>
        <v>290.95982527888958</v>
      </c>
      <c r="K68" s="114">
        <f t="shared" si="13"/>
        <v>24.246652106574132</v>
      </c>
      <c r="L68" s="114">
        <f>'F5'!R64</f>
        <v>313.25168831482637</v>
      </c>
      <c r="M68" s="84">
        <f t="shared" si="14"/>
        <v>26.104307359568864</v>
      </c>
      <c r="N68" s="10"/>
    </row>
    <row r="69" spans="2:14">
      <c r="B69" s="68">
        <v>6</v>
      </c>
      <c r="C69" s="10" t="s">
        <v>101</v>
      </c>
      <c r="D69" s="114">
        <f>'F5'!F65</f>
        <v>6.9603687124364386</v>
      </c>
      <c r="E69" s="114">
        <f t="shared" si="10"/>
        <v>0.58003072603636985</v>
      </c>
      <c r="F69" s="114">
        <f>'F5'!I65</f>
        <v>4.0706724914029744</v>
      </c>
      <c r="G69" s="114">
        <f t="shared" si="11"/>
        <v>0.33922270761691453</v>
      </c>
      <c r="H69" s="114">
        <f>'F5'!L65</f>
        <v>4.5695577742267934</v>
      </c>
      <c r="I69" s="114">
        <f t="shared" si="12"/>
        <v>0.38079648118556614</v>
      </c>
      <c r="J69" s="114">
        <f>'F5'!O65</f>
        <v>4.9168582386621749</v>
      </c>
      <c r="K69" s="114">
        <f t="shared" si="13"/>
        <v>0.40973818655518124</v>
      </c>
      <c r="L69" s="114">
        <f>'F5'!R65</f>
        <v>5.1217267176714802</v>
      </c>
      <c r="M69" s="84">
        <f t="shared" si="14"/>
        <v>0.42681055980595667</v>
      </c>
      <c r="N69" s="10"/>
    </row>
    <row r="70" spans="2:14">
      <c r="B70" s="68">
        <v>7</v>
      </c>
      <c r="C70" s="10" t="s">
        <v>102</v>
      </c>
      <c r="D70" s="114">
        <f>'F5'!F66</f>
        <v>3.6044770385288478</v>
      </c>
      <c r="E70" s="114">
        <f t="shared" si="10"/>
        <v>0.30037308654407063</v>
      </c>
      <c r="F70" s="114">
        <f>'F5'!I66</f>
        <v>2.0676434548343035</v>
      </c>
      <c r="G70" s="114">
        <f t="shared" si="11"/>
        <v>0.17230362123619195</v>
      </c>
      <c r="H70" s="114">
        <f>'F5'!L66</f>
        <v>2.3400640284679781</v>
      </c>
      <c r="I70" s="114">
        <f t="shared" si="12"/>
        <v>0.19500533570566483</v>
      </c>
      <c r="J70" s="114">
        <f>'F5'!O66</f>
        <v>2.5385477361329571</v>
      </c>
      <c r="K70" s="114">
        <f t="shared" si="13"/>
        <v>0.21154564467774642</v>
      </c>
      <c r="L70" s="114">
        <f>'F5'!R66</f>
        <v>2.6659876227428883</v>
      </c>
      <c r="M70" s="84">
        <f t="shared" si="14"/>
        <v>0.22216563522857402</v>
      </c>
      <c r="N70" s="10"/>
    </row>
    <row r="71" spans="2:14">
      <c r="B71" s="68">
        <v>8</v>
      </c>
      <c r="C71" s="10" t="s">
        <v>103</v>
      </c>
      <c r="D71" s="114">
        <f>'F5'!F67</f>
        <v>3.2902950219859841</v>
      </c>
      <c r="E71" s="114">
        <f t="shared" si="10"/>
        <v>0.27419125183216536</v>
      </c>
      <c r="F71" s="114">
        <f>'F5'!I67</f>
        <v>2.2616000816782469</v>
      </c>
      <c r="G71" s="114">
        <f t="shared" si="11"/>
        <v>0.18846667347318724</v>
      </c>
      <c r="H71" s="114">
        <f>'F5'!L67</f>
        <v>2.5368359711263531</v>
      </c>
      <c r="I71" s="114">
        <f t="shared" si="12"/>
        <v>0.21140299759386275</v>
      </c>
      <c r="J71" s="114">
        <f>'F5'!O67</f>
        <v>2.7275609700311501</v>
      </c>
      <c r="K71" s="114">
        <f t="shared" si="13"/>
        <v>0.22729674750259585</v>
      </c>
      <c r="L71" s="114">
        <f>'F5'!R67</f>
        <v>2.8390415455261535</v>
      </c>
      <c r="M71" s="84">
        <f t="shared" si="14"/>
        <v>0.23658679546051278</v>
      </c>
      <c r="N71" s="10"/>
    </row>
    <row r="72" spans="2:14">
      <c r="B72" s="68">
        <v>9</v>
      </c>
      <c r="C72" s="10" t="s">
        <v>104</v>
      </c>
      <c r="D72" s="114">
        <f>'F5'!F68</f>
        <v>2.5536534214869873</v>
      </c>
      <c r="E72" s="114">
        <f t="shared" si="10"/>
        <v>0.21280445179058227</v>
      </c>
      <c r="F72" s="114">
        <f>'F5'!I68</f>
        <v>3.8728773113709947</v>
      </c>
      <c r="G72" s="114">
        <f t="shared" si="11"/>
        <v>0.32273977594758291</v>
      </c>
      <c r="H72" s="114">
        <f>'F5'!L68</f>
        <v>5.0652737439400131</v>
      </c>
      <c r="I72" s="114">
        <f t="shared" si="12"/>
        <v>0.4221061453283344</v>
      </c>
      <c r="J72" s="114">
        <f>'F5'!O68</f>
        <v>6.3500567560567402</v>
      </c>
      <c r="K72" s="114">
        <f t="shared" si="13"/>
        <v>0.52917139633806165</v>
      </c>
      <c r="L72" s="114">
        <f>'F5'!R68</f>
        <v>7.7066829633338347</v>
      </c>
      <c r="M72" s="84">
        <f t="shared" si="14"/>
        <v>0.64222358027781956</v>
      </c>
      <c r="N72" s="10"/>
    </row>
    <row r="73" spans="2:14">
      <c r="B73" s="68">
        <v>10</v>
      </c>
      <c r="C73" s="10" t="s">
        <v>105</v>
      </c>
      <c r="D73" s="114">
        <f>'F5'!F69</f>
        <v>5.8458133711536133</v>
      </c>
      <c r="E73" s="114">
        <f t="shared" si="10"/>
        <v>0.48715111426280111</v>
      </c>
      <c r="F73" s="114">
        <f>'F5'!I69</f>
        <v>6.1957978275125276</v>
      </c>
      <c r="G73" s="114">
        <f t="shared" si="11"/>
        <v>0.51631648562604393</v>
      </c>
      <c r="H73" s="114">
        <f>'F5'!L69</f>
        <v>7.3586833573262282</v>
      </c>
      <c r="I73" s="114">
        <f t="shared" si="12"/>
        <v>0.61322361311051898</v>
      </c>
      <c r="J73" s="114">
        <f>'F5'!O69</f>
        <v>8.3773854391056286</v>
      </c>
      <c r="K73" s="114">
        <f t="shared" si="13"/>
        <v>0.69811545325880242</v>
      </c>
      <c r="L73" s="114">
        <f>'F5'!R69</f>
        <v>9.2327713390730874</v>
      </c>
      <c r="M73" s="84">
        <f t="shared" si="14"/>
        <v>0.76939761158942399</v>
      </c>
      <c r="N73" s="10"/>
    </row>
    <row r="74" spans="2:14">
      <c r="B74" s="68">
        <v>11</v>
      </c>
      <c r="C74" s="10" t="s">
        <v>106</v>
      </c>
      <c r="D74" s="114">
        <f>'F5'!F70</f>
        <v>2.9641072930343317</v>
      </c>
      <c r="E74" s="114">
        <f t="shared" si="10"/>
        <v>0.24700894108619431</v>
      </c>
      <c r="F74" s="114">
        <f>'F5'!I70</f>
        <v>3.4198590936061177</v>
      </c>
      <c r="G74" s="114">
        <f t="shared" si="11"/>
        <v>0.28498825780050979</v>
      </c>
      <c r="H74" s="114">
        <f>'F5'!L70</f>
        <v>3.7608614528268309</v>
      </c>
      <c r="I74" s="114">
        <f t="shared" si="12"/>
        <v>0.31340512106890256</v>
      </c>
      <c r="J74" s="114">
        <f>'F5'!O70</f>
        <v>3.9643497353063624</v>
      </c>
      <c r="K74" s="114">
        <f t="shared" si="13"/>
        <v>0.33036247794219686</v>
      </c>
      <c r="L74" s="114">
        <f>'F5'!R70</f>
        <v>4.0454961090999033</v>
      </c>
      <c r="M74" s="84">
        <f t="shared" si="14"/>
        <v>0.33712467575832528</v>
      </c>
      <c r="N74" s="10"/>
    </row>
    <row r="75" spans="2:14">
      <c r="B75" s="68">
        <v>12</v>
      </c>
      <c r="C75" s="10" t="s">
        <v>107</v>
      </c>
      <c r="D75" s="114">
        <f>'F5'!F71</f>
        <v>1.729215508224609</v>
      </c>
      <c r="E75" s="114">
        <f t="shared" si="10"/>
        <v>0.14410129235205074</v>
      </c>
      <c r="F75" s="114">
        <f>'F5'!I71</f>
        <v>2.2938946433740557</v>
      </c>
      <c r="G75" s="114">
        <f t="shared" si="11"/>
        <v>0.19115788694783797</v>
      </c>
      <c r="H75" s="114">
        <f>'F5'!L71</f>
        <v>2.5226243845077705</v>
      </c>
      <c r="I75" s="114">
        <f t="shared" si="12"/>
        <v>0.21021869870898088</v>
      </c>
      <c r="J75" s="114">
        <f>'F5'!O71</f>
        <v>2.6591155873301013</v>
      </c>
      <c r="K75" s="114">
        <f t="shared" si="13"/>
        <v>0.22159296561084177</v>
      </c>
      <c r="L75" s="114">
        <f>'F5'!R71</f>
        <v>2.7135450907333989</v>
      </c>
      <c r="M75" s="84">
        <f t="shared" si="14"/>
        <v>0.22612875756111658</v>
      </c>
      <c r="N75" s="10"/>
    </row>
    <row r="76" spans="2:14">
      <c r="B76" s="68">
        <v>13</v>
      </c>
      <c r="C76" s="10" t="s">
        <v>108</v>
      </c>
      <c r="D76" s="114">
        <f>'F5'!F72</f>
        <v>0.49851813576749082</v>
      </c>
      <c r="E76" s="114">
        <f t="shared" si="10"/>
        <v>4.1543177980624235E-2</v>
      </c>
      <c r="F76" s="114">
        <f>'F5'!I72</f>
        <v>0.71962636885819464</v>
      </c>
      <c r="G76" s="114">
        <f t="shared" si="11"/>
        <v>5.996886407151622E-2</v>
      </c>
      <c r="H76" s="114">
        <f>'F5'!L72</f>
        <v>0.88517646201323674</v>
      </c>
      <c r="I76" s="114">
        <f t="shared" si="12"/>
        <v>7.3764705167769729E-2</v>
      </c>
      <c r="J76" s="114">
        <f>'F5'!O72</f>
        <v>1.0436578630723927</v>
      </c>
      <c r="K76" s="114">
        <f t="shared" si="13"/>
        <v>8.6971488589366056E-2</v>
      </c>
      <c r="L76" s="114">
        <f>'F5'!R72</f>
        <v>1.1912465132859531</v>
      </c>
      <c r="M76" s="84">
        <f t="shared" si="14"/>
        <v>9.927054277382942E-2</v>
      </c>
      <c r="N76" s="10"/>
    </row>
    <row r="77" spans="2:14">
      <c r="B77" s="68">
        <v>14</v>
      </c>
      <c r="C77" s="10" t="s">
        <v>109</v>
      </c>
      <c r="D77" s="114">
        <f>'F5'!F73</f>
        <v>0.18190898707456254</v>
      </c>
      <c r="E77" s="114">
        <f t="shared" si="10"/>
        <v>1.5159082256213546E-2</v>
      </c>
      <c r="F77" s="114">
        <f>'F5'!I73</f>
        <v>0.26817986136489685</v>
      </c>
      <c r="G77" s="114">
        <f t="shared" si="11"/>
        <v>2.2348321780408072E-2</v>
      </c>
      <c r="H77" s="114">
        <f>'F5'!L73</f>
        <v>0.30982220093244012</v>
      </c>
      <c r="I77" s="114">
        <f t="shared" si="12"/>
        <v>2.581851674437001E-2</v>
      </c>
      <c r="J77" s="114">
        <f>'F5'!O73</f>
        <v>0.34308711801095404</v>
      </c>
      <c r="K77" s="114">
        <f t="shared" si="13"/>
        <v>2.8590593167579503E-2</v>
      </c>
      <c r="L77" s="114">
        <f>'F5'!R73</f>
        <v>0.36779980042117855</v>
      </c>
      <c r="M77" s="84">
        <f t="shared" si="14"/>
        <v>3.0649983368431544E-2</v>
      </c>
      <c r="N77" s="10"/>
    </row>
    <row r="78" spans="2:14">
      <c r="B78" s="68">
        <v>15</v>
      </c>
      <c r="C78" s="10" t="s">
        <v>110</v>
      </c>
      <c r="D78" s="114">
        <f>'F5'!F74</f>
        <v>12.337883482643196</v>
      </c>
      <c r="E78" s="114">
        <f t="shared" si="10"/>
        <v>1.0281569568869331</v>
      </c>
      <c r="F78" s="114">
        <f>'F5'!I74</f>
        <v>12.24440843129884</v>
      </c>
      <c r="G78" s="114">
        <f t="shared" si="11"/>
        <v>1.0203673692749033</v>
      </c>
      <c r="H78" s="114">
        <f>'F5'!L74</f>
        <v>14.049617407888798</v>
      </c>
      <c r="I78" s="114">
        <f t="shared" si="12"/>
        <v>1.1708014506573998</v>
      </c>
      <c r="J78" s="114">
        <f>'F5'!O74</f>
        <v>15.452426703256815</v>
      </c>
      <c r="K78" s="114">
        <f t="shared" si="13"/>
        <v>1.2877022252714012</v>
      </c>
      <c r="L78" s="114">
        <f>'F5'!R74</f>
        <v>16.452961711177291</v>
      </c>
      <c r="M78" s="84">
        <f t="shared" si="14"/>
        <v>1.3710801425981076</v>
      </c>
      <c r="N78" s="18"/>
    </row>
    <row r="79" spans="2:14">
      <c r="B79" s="68">
        <v>16</v>
      </c>
      <c r="C79" s="65" t="s">
        <v>111</v>
      </c>
      <c r="D79" s="114">
        <f>'F5'!F75</f>
        <v>6.7290793958106061</v>
      </c>
      <c r="E79" s="114">
        <f t="shared" si="10"/>
        <v>0.56075661631755047</v>
      </c>
      <c r="F79" s="114">
        <f>'F5'!I75</f>
        <v>6.6518420036820283</v>
      </c>
      <c r="G79" s="114">
        <f t="shared" si="11"/>
        <v>0.55432016697350239</v>
      </c>
      <c r="H79" s="114">
        <f>'F5'!L75</f>
        <v>7.6025230368518022</v>
      </c>
      <c r="I79" s="114">
        <f t="shared" si="12"/>
        <v>0.63354358640431685</v>
      </c>
      <c r="J79" s="114">
        <f>'F5'!O75</f>
        <v>8.3287354687908195</v>
      </c>
      <c r="K79" s="114">
        <f t="shared" si="13"/>
        <v>0.69406128906590159</v>
      </c>
      <c r="L79" s="114">
        <f>'F5'!R75</f>
        <v>8.833149741901563</v>
      </c>
      <c r="M79" s="84">
        <f t="shared" si="14"/>
        <v>0.73609581182513029</v>
      </c>
      <c r="N79" s="18"/>
    </row>
    <row r="80" spans="2:14">
      <c r="B80" s="68">
        <v>17</v>
      </c>
      <c r="C80" s="65" t="s">
        <v>112</v>
      </c>
      <c r="D80" s="114">
        <f>'F5'!F76</f>
        <v>4.7120720888695047</v>
      </c>
      <c r="E80" s="114">
        <f t="shared" si="10"/>
        <v>0.39267267407245871</v>
      </c>
      <c r="F80" s="114">
        <f>'F5'!I76</f>
        <v>4.6579862119971454</v>
      </c>
      <c r="G80" s="114">
        <f t="shared" si="11"/>
        <v>0.38816551766642876</v>
      </c>
      <c r="H80" s="114">
        <f>'F5'!L76</f>
        <v>5.3237054431606055</v>
      </c>
      <c r="I80" s="114">
        <f t="shared" si="12"/>
        <v>0.44364212026338379</v>
      </c>
      <c r="J80" s="114">
        <f>'F5'!O76</f>
        <v>5.8322393940693038</v>
      </c>
      <c r="K80" s="114">
        <f t="shared" si="13"/>
        <v>0.48601994950577532</v>
      </c>
      <c r="L80" s="114">
        <f>'F5'!R76</f>
        <v>6.1854580556045367</v>
      </c>
      <c r="M80" s="84">
        <f t="shared" si="14"/>
        <v>0.51545483796704472</v>
      </c>
      <c r="N80" s="18"/>
    </row>
    <row r="81" spans="2:14">
      <c r="B81" s="68">
        <v>18</v>
      </c>
      <c r="C81" s="65" t="s">
        <v>167</v>
      </c>
      <c r="D81" s="114">
        <f>'F5'!F77</f>
        <v>8.8726068661770565</v>
      </c>
      <c r="E81" s="114">
        <f t="shared" si="10"/>
        <v>0.73938390551475475</v>
      </c>
      <c r="F81" s="114">
        <f>'F5'!I77</f>
        <v>8.4391909610821454</v>
      </c>
      <c r="G81" s="114">
        <f t="shared" si="11"/>
        <v>0.70326591342351208</v>
      </c>
      <c r="H81" s="114">
        <f>'F5'!L77</f>
        <v>9.2806829491653744</v>
      </c>
      <c r="I81" s="114">
        <f t="shared" si="12"/>
        <v>0.77339024576378124</v>
      </c>
      <c r="J81" s="114">
        <f>'F5'!O77</f>
        <v>9.782831262058755</v>
      </c>
      <c r="K81" s="114">
        <f t="shared" si="13"/>
        <v>0.81523593850489628</v>
      </c>
      <c r="L81" s="114">
        <f>'F5'!R77</f>
        <v>9.9830762796161707</v>
      </c>
      <c r="M81" s="84">
        <f t="shared" si="14"/>
        <v>0.8319230233013476</v>
      </c>
      <c r="N81" s="18"/>
    </row>
    <row r="82" spans="2:14">
      <c r="B82" s="68">
        <v>19</v>
      </c>
      <c r="C82" s="65" t="s">
        <v>168</v>
      </c>
      <c r="D82" s="114">
        <f>'F5'!F78</f>
        <v>8.8726068661770565</v>
      </c>
      <c r="E82" s="114">
        <f t="shared" si="10"/>
        <v>0.73938390551475475</v>
      </c>
      <c r="F82" s="114">
        <f>'F5'!I78</f>
        <v>8.4391909610821454</v>
      </c>
      <c r="G82" s="114">
        <f t="shared" si="11"/>
        <v>0.70326591342351208</v>
      </c>
      <c r="H82" s="114">
        <f>'F5'!L78</f>
        <v>9.2806829491653744</v>
      </c>
      <c r="I82" s="114">
        <f t="shared" si="12"/>
        <v>0.77339024576378124</v>
      </c>
      <c r="J82" s="114">
        <f>'F5'!O78</f>
        <v>9.782831262058755</v>
      </c>
      <c r="K82" s="114">
        <f t="shared" si="13"/>
        <v>0.81523593850489628</v>
      </c>
      <c r="L82" s="114">
        <f>'F5'!R78</f>
        <v>9.9830762796161707</v>
      </c>
      <c r="M82" s="84">
        <f t="shared" si="14"/>
        <v>0.8319230233013476</v>
      </c>
      <c r="N82" s="18"/>
    </row>
    <row r="83" spans="2:14">
      <c r="B83" s="56"/>
      <c r="C83" s="55" t="s">
        <v>191</v>
      </c>
      <c r="D83" s="115">
        <f>SUM(D64:D82)</f>
        <v>11839.383303758323</v>
      </c>
      <c r="E83" s="115">
        <f>SUM(E64:E82)</f>
        <v>986.61527531319382</v>
      </c>
      <c r="F83" s="115">
        <f t="shared" ref="F83:M83" si="15">SUM(F64:F82)</f>
        <v>11955.259400466386</v>
      </c>
      <c r="G83" s="115">
        <f t="shared" si="15"/>
        <v>996.27161670553187</v>
      </c>
      <c r="H83" s="115">
        <f t="shared" si="15"/>
        <v>13959.0366735519</v>
      </c>
      <c r="I83" s="115">
        <f t="shared" si="15"/>
        <v>1163.2530561293249</v>
      </c>
      <c r="J83" s="115">
        <f t="shared" si="15"/>
        <v>15624.037689991486</v>
      </c>
      <c r="K83" s="115">
        <f t="shared" si="15"/>
        <v>1302.003140832624</v>
      </c>
      <c r="L83" s="115">
        <f t="shared" si="15"/>
        <v>16930.944115687402</v>
      </c>
      <c r="M83" s="115">
        <f t="shared" si="15"/>
        <v>1410.912009640618</v>
      </c>
      <c r="N83" s="18"/>
    </row>
  </sheetData>
  <mergeCells count="25">
    <mergeCell ref="A2:N2"/>
    <mergeCell ref="A3:N3"/>
    <mergeCell ref="A4:N4"/>
    <mergeCell ref="D34:M34"/>
    <mergeCell ref="N34:N36"/>
    <mergeCell ref="B34:B36"/>
    <mergeCell ref="C34:C36"/>
    <mergeCell ref="D35:E35"/>
    <mergeCell ref="F35:G35"/>
    <mergeCell ref="H35:I35"/>
    <mergeCell ref="L35:M35"/>
    <mergeCell ref="J35:K35"/>
    <mergeCell ref="B8:B10"/>
    <mergeCell ref="C8:C10"/>
    <mergeCell ref="D8:F8"/>
    <mergeCell ref="G8:I8"/>
    <mergeCell ref="B61:B63"/>
    <mergeCell ref="C61:C63"/>
    <mergeCell ref="D61:M61"/>
    <mergeCell ref="N61:N63"/>
    <mergeCell ref="D62:E62"/>
    <mergeCell ref="F62:G62"/>
    <mergeCell ref="H62:I62"/>
    <mergeCell ref="J62:K62"/>
    <mergeCell ref="L62:M62"/>
  </mergeCells>
  <pageMargins left="0.75" right="0.75" top="1" bottom="1" header="0.5" footer="0.5"/>
  <pageSetup paperSize="9" scale="5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33E93C2172E34383842067FE3A7EF6" ma:contentTypeVersion="11" ma:contentTypeDescription="Create a new document." ma:contentTypeScope="" ma:versionID="d6fda382707218b834044c13dea57434">
  <xsd:schema xmlns:xsd="http://www.w3.org/2001/XMLSchema" xmlns:xs="http://www.w3.org/2001/XMLSchema" xmlns:p="http://schemas.microsoft.com/office/2006/metadata/properties" xmlns:ns2="0508b0c6-d943-4577-ae4c-84b656c09f0c" xmlns:ns3="071f62f0-0511-4d17-a076-878e40549982" targetNamespace="http://schemas.microsoft.com/office/2006/metadata/properties" ma:root="true" ma:fieldsID="767bb5ca9da022703f14e437c7cf86ad" ns2:_="" ns3:_="">
    <xsd:import namespace="0508b0c6-d943-4577-ae4c-84b656c09f0c"/>
    <xsd:import namespace="071f62f0-0511-4d17-a076-878e405499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8b0c6-d943-4577-ae4c-84b656c09f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1f62f0-0511-4d17-a076-878e405499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365ee6-0335-4133-b881-cf231cb1c840}" ma:internalName="TaxCatchAll" ma:showField="CatchAllData" ma:web="071f62f0-0511-4d17-a076-878e405499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1f62f0-0511-4d17-a076-878e40549982" xsi:nil="true"/>
    <lcf76f155ced4ddcb4097134ff3c332f xmlns="0508b0c6-d943-4577-ae4c-84b656c09f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67CE9C-2F96-4BE9-8EA1-A4F387BFC9AC}"/>
</file>

<file path=customXml/itemProps2.xml><?xml version="1.0" encoding="utf-8"?>
<ds:datastoreItem xmlns:ds="http://schemas.openxmlformats.org/officeDocument/2006/customXml" ds:itemID="{A3AB7F68-CAF0-4190-AEBD-85FF1BCEA83A}"/>
</file>

<file path=customXml/itemProps3.xml><?xml version="1.0" encoding="utf-8"?>
<ds:datastoreItem xmlns:ds="http://schemas.openxmlformats.org/officeDocument/2006/customXml" ds:itemID="{8140D9D9-278C-4244-87F8-3927379ED7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Palaniappan M</dc:creator>
  <cp:keywords/>
  <dc:description/>
  <cp:lastModifiedBy/>
  <cp:revision/>
  <dcterms:created xsi:type="dcterms:W3CDTF">2004-07-28T05:30:50Z</dcterms:created>
  <dcterms:modified xsi:type="dcterms:W3CDTF">2024-12-12T11:13:50Z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2024-11-05T05:05:15Z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e694e19f-32e9-43bc-a14d-a9ecd0ce7bec</vt:lpwstr>
  </property>
  <property fmtid="{D5CDD505-2E9C-101B-9397-08002B2CF9AE}" pid="8" name="MSIP_Label_ea60d57e-af5b-4752-ac57-3e4f28ca11dc_ContentBits">
    <vt:lpwstr>0</vt:lpwstr>
  </property>
  <property fmtid="{D5CDD505-2E9C-101B-9397-08002B2CF9AE}" pid="9" name="ContentTypeId">
    <vt:lpwstr>0x0101007333E93C2172E34383842067FE3A7EF6</vt:lpwstr>
  </property>
  <property fmtid="{D5CDD505-2E9C-101B-9397-08002B2CF9AE}" pid="10" name="MediaServiceImageTags">
    <vt:lpwstr/>
  </property>
</Properties>
</file>