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09"/>
  <workbookPr codeName="ThisWorkbook"/>
  <mc:AlternateContent xmlns:mc="http://schemas.openxmlformats.org/markup-compatibility/2006">
    <mc:Choice Requires="x15">
      <x15ac:absPath xmlns:x15ac="http://schemas.microsoft.com/office/spreadsheetml/2010/11/ac" url="C:\Users\Admin\Downloads\"/>
    </mc:Choice>
  </mc:AlternateContent>
  <xr:revisionPtr revIDLastSave="0" documentId="8_{C4B2CBFC-4185-449A-92DD-0EFDC3FF4A8C}" xr6:coauthVersionLast="47" xr6:coauthVersionMax="47" xr10:uidLastSave="{00000000-0000-0000-0000-000000000000}"/>
  <bookViews>
    <workbookView xWindow="0" yWindow="0" windowWidth="23040" windowHeight="8496" tabRatio="857" firstSheet="4" activeTab="4" xr2:uid="{00000000-000D-0000-FFFF-FFFF00000000}"/>
  </bookViews>
  <sheets>
    <sheet name="Index" sheetId="44" r:id="rId1"/>
    <sheet name="F1 " sheetId="2" r:id="rId2"/>
    <sheet name="F2" sheetId="79" r:id="rId3"/>
    <sheet name="F2.1" sheetId="80" r:id="rId4"/>
    <sheet name="F2.2" sheetId="107" r:id="rId5"/>
    <sheet name="Proposed Employee Salaries" sheetId="114" state="hidden" r:id="rId6"/>
    <sheet name="F2.3" sheetId="110" r:id="rId7"/>
    <sheet name="F2.4" sheetId="111" r:id="rId8"/>
    <sheet name="F3" sheetId="87" r:id="rId9"/>
    <sheet name="F3.1" sheetId="88" r:id="rId10"/>
    <sheet name="F3.2" sheetId="89" r:id="rId11"/>
    <sheet name="F3.3" sheetId="90" r:id="rId12"/>
    <sheet name="F4" sheetId="64" r:id="rId13"/>
    <sheet name="F4 (E) Existing" sheetId="102" r:id="rId14"/>
    <sheet name="F4 (N) New" sheetId="103" r:id="rId15"/>
    <sheet name="F5" sheetId="122" r:id="rId16"/>
    <sheet name="F6" sheetId="77" r:id="rId17"/>
    <sheet name="F7" sheetId="101" r:id="rId18"/>
    <sheet name="F8" sheetId="3" r:id="rId19"/>
    <sheet name="F9" sheetId="14" r:id="rId20"/>
    <sheet name="F9A" sheetId="98" r:id="rId21"/>
    <sheet name="F10_Including POA" sheetId="112" r:id="rId22"/>
    <sheet name="POA Data" sheetId="117" r:id="rId23"/>
    <sheet name="F10_Excluding POA" sheetId="116" r:id="rId24"/>
    <sheet name="F11" sheetId="85" r:id="rId25"/>
    <sheet name="F12_Including POA" sheetId="115" r:id="rId26"/>
    <sheet name="F12_Excluding POA" sheetId="86" r:id="rId27"/>
    <sheet name="F13" sheetId="113" r:id="rId28"/>
    <sheet name="F14" sheetId="94" r:id="rId29"/>
    <sheet name="F15" sheetId="97" r:id="rId30"/>
    <sheet name="F15.1" sheetId="104" r:id="rId31"/>
    <sheet name="F15.2" sheetId="105" r:id="rId32"/>
    <sheet name="F15.3" sheetId="106"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a" localSheetId="23">'F10_Excluding POA'!#REF!</definedName>
    <definedName name="\a" localSheetId="21">'F10_Including POA'!#REF!</definedName>
    <definedName name="\a" localSheetId="24">#REF!</definedName>
    <definedName name="\a" localSheetId="26">#REF!</definedName>
    <definedName name="\a" localSheetId="25">#REF!</definedName>
    <definedName name="\a" localSheetId="8">#REF!</definedName>
    <definedName name="\a" localSheetId="17">#REF!</definedName>
    <definedName name="\a" localSheetId="22">'POA Data'!#REF!</definedName>
    <definedName name="\a">#REF!</definedName>
    <definedName name="\b" localSheetId="23">'F10_Excluding POA'!#REF!</definedName>
    <definedName name="\b" localSheetId="21">'F10_Including POA'!#REF!</definedName>
    <definedName name="\b" localSheetId="24">#REF!</definedName>
    <definedName name="\b" localSheetId="26">#REF!</definedName>
    <definedName name="\b" localSheetId="25">#REF!</definedName>
    <definedName name="\b" localSheetId="8">#REF!</definedName>
    <definedName name="\b" localSheetId="22">'POA Data'!#REF!</definedName>
    <definedName name="\b">#REF!</definedName>
    <definedName name="\c" localSheetId="23">'F10_Excluding POA'!#REF!</definedName>
    <definedName name="\c" localSheetId="21">'F10_Including POA'!#REF!</definedName>
    <definedName name="\c" localSheetId="24">#REF!</definedName>
    <definedName name="\c" localSheetId="26">#REF!</definedName>
    <definedName name="\c" localSheetId="25">#REF!</definedName>
    <definedName name="\c" localSheetId="8">#REF!</definedName>
    <definedName name="\c" localSheetId="22">'POA Data'!#REF!</definedName>
    <definedName name="\c">#REF!</definedName>
    <definedName name="\d" localSheetId="23">'F10_Excluding POA'!#REF!</definedName>
    <definedName name="\d" localSheetId="21">'F10_Including POA'!#REF!</definedName>
    <definedName name="\d" localSheetId="24">#REF!</definedName>
    <definedName name="\d" localSheetId="26">#REF!</definedName>
    <definedName name="\d" localSheetId="25">#REF!</definedName>
    <definedName name="\d" localSheetId="8">#REF!</definedName>
    <definedName name="\d" localSheetId="22">'POA Data'!#REF!</definedName>
    <definedName name="\d">#REF!</definedName>
    <definedName name="\e" localSheetId="23">'F10_Excluding POA'!#REF!</definedName>
    <definedName name="\e" localSheetId="21">'F10_Including POA'!#REF!</definedName>
    <definedName name="\e" localSheetId="24">#REF!</definedName>
    <definedName name="\e" localSheetId="26">#REF!</definedName>
    <definedName name="\e" localSheetId="25">#REF!</definedName>
    <definedName name="\e" localSheetId="8">#REF!</definedName>
    <definedName name="\e" localSheetId="22">'POA Data'!#REF!</definedName>
    <definedName name="\e">#REF!</definedName>
    <definedName name="\f" localSheetId="23">'F10_Excluding POA'!#REF!</definedName>
    <definedName name="\f" localSheetId="21">'F10_Including POA'!#REF!</definedName>
    <definedName name="\f" localSheetId="24">#REF!</definedName>
    <definedName name="\f" localSheetId="26">#REF!</definedName>
    <definedName name="\f" localSheetId="25">#REF!</definedName>
    <definedName name="\f" localSheetId="8">#REF!</definedName>
    <definedName name="\f" localSheetId="22">'POA Data'!#REF!</definedName>
    <definedName name="\f">#REF!</definedName>
    <definedName name="\g" localSheetId="23">'F10_Excluding POA'!#REF!</definedName>
    <definedName name="\g" localSheetId="21">'F10_Including POA'!#REF!</definedName>
    <definedName name="\g" localSheetId="24">#REF!</definedName>
    <definedName name="\g" localSheetId="26">#REF!</definedName>
    <definedName name="\g" localSheetId="25">#REF!</definedName>
    <definedName name="\g" localSheetId="8">#REF!</definedName>
    <definedName name="\g" localSheetId="22">'POA Data'!#REF!</definedName>
    <definedName name="\g">#REF!</definedName>
    <definedName name="\j" localSheetId="23">'F10_Excluding POA'!#REF!</definedName>
    <definedName name="\j" localSheetId="21">'F10_Including POA'!#REF!</definedName>
    <definedName name="\j" localSheetId="24">#REF!</definedName>
    <definedName name="\j" localSheetId="26">#REF!</definedName>
    <definedName name="\j" localSheetId="25">#REF!</definedName>
    <definedName name="\j" localSheetId="8">#REF!</definedName>
    <definedName name="\j" localSheetId="22">'POA Data'!#REF!</definedName>
    <definedName name="\j">#REF!</definedName>
    <definedName name="\k" localSheetId="23">'F10_Excluding POA'!#REF!</definedName>
    <definedName name="\k" localSheetId="21">'F10_Including POA'!#REF!</definedName>
    <definedName name="\k" localSheetId="24">#REF!</definedName>
    <definedName name="\k" localSheetId="26">#REF!</definedName>
    <definedName name="\k" localSheetId="25">#REF!</definedName>
    <definedName name="\k" localSheetId="8">#REF!</definedName>
    <definedName name="\k" localSheetId="22">'POA Data'!#REF!</definedName>
    <definedName name="\k">#REF!</definedName>
    <definedName name="\m" localSheetId="23">'F10_Excluding POA'!#REF!</definedName>
    <definedName name="\m" localSheetId="21">'F10_Including POA'!#REF!</definedName>
    <definedName name="\m" localSheetId="24">#REF!</definedName>
    <definedName name="\m" localSheetId="26">#REF!</definedName>
    <definedName name="\m" localSheetId="25">#REF!</definedName>
    <definedName name="\m" localSheetId="8">#REF!</definedName>
    <definedName name="\m" localSheetId="22">'POA Data'!#REF!</definedName>
    <definedName name="\m">#REF!</definedName>
    <definedName name="\n" localSheetId="23">'F10_Excluding POA'!#REF!</definedName>
    <definedName name="\n" localSheetId="21">'F10_Including POA'!#REF!</definedName>
    <definedName name="\n" localSheetId="24">#REF!</definedName>
    <definedName name="\n" localSheetId="26">#REF!</definedName>
    <definedName name="\n" localSheetId="25">#REF!</definedName>
    <definedName name="\n" localSheetId="8">#REF!</definedName>
    <definedName name="\n" localSheetId="22">'POA Data'!#REF!</definedName>
    <definedName name="\n">#REF!</definedName>
    <definedName name="\o" localSheetId="23">'F10_Excluding POA'!#REF!</definedName>
    <definedName name="\o" localSheetId="21">'F10_Including POA'!#REF!</definedName>
    <definedName name="\o" localSheetId="24">#REF!</definedName>
    <definedName name="\o" localSheetId="26">#REF!</definedName>
    <definedName name="\o" localSheetId="25">#REF!</definedName>
    <definedName name="\o" localSheetId="8">#REF!</definedName>
    <definedName name="\o" localSheetId="22">'POA Data'!#REF!</definedName>
    <definedName name="\o">#REF!</definedName>
    <definedName name="\p" localSheetId="23">'F10_Excluding POA'!#REF!</definedName>
    <definedName name="\p" localSheetId="21">'F10_Including POA'!#REF!</definedName>
    <definedName name="\p" localSheetId="24">#REF!</definedName>
    <definedName name="\p" localSheetId="26">#REF!</definedName>
    <definedName name="\p" localSheetId="25">#REF!</definedName>
    <definedName name="\p" localSheetId="8">#REF!</definedName>
    <definedName name="\p" localSheetId="22">'POA Data'!#REF!</definedName>
    <definedName name="\p">#REF!</definedName>
    <definedName name="\s" localSheetId="23">'F10_Excluding POA'!#REF!</definedName>
    <definedName name="\s" localSheetId="21">'F10_Including POA'!#REF!</definedName>
    <definedName name="\s" localSheetId="24">#REF!</definedName>
    <definedName name="\s" localSheetId="26">#REF!</definedName>
    <definedName name="\s" localSheetId="25">#REF!</definedName>
    <definedName name="\s" localSheetId="8">#REF!</definedName>
    <definedName name="\s" localSheetId="22">'POA Data'!#REF!</definedName>
    <definedName name="\s">#REF!</definedName>
    <definedName name="\t" localSheetId="23">'F10_Excluding POA'!#REF!</definedName>
    <definedName name="\t" localSheetId="21">'F10_Including POA'!#REF!</definedName>
    <definedName name="\t" localSheetId="24">#REF!</definedName>
    <definedName name="\t" localSheetId="26">#REF!</definedName>
    <definedName name="\t" localSheetId="25">#REF!</definedName>
    <definedName name="\t" localSheetId="8">#REF!</definedName>
    <definedName name="\t" localSheetId="22">'POA Data'!#REF!</definedName>
    <definedName name="\t">#REF!</definedName>
    <definedName name="\w" localSheetId="23">'F10_Excluding POA'!#REF!</definedName>
    <definedName name="\w" localSheetId="21">'F10_Including POA'!#REF!</definedName>
    <definedName name="\w" localSheetId="24">#REF!</definedName>
    <definedName name="\w" localSheetId="26">#REF!</definedName>
    <definedName name="\w" localSheetId="25">#REF!</definedName>
    <definedName name="\w" localSheetId="8">#REF!</definedName>
    <definedName name="\w" localSheetId="22">'POA Data'!#REF!</definedName>
    <definedName name="\w">#REF!</definedName>
    <definedName name="\x" localSheetId="23">'F10_Excluding POA'!#REF!</definedName>
    <definedName name="\x" localSheetId="21">'F10_Including POA'!#REF!</definedName>
    <definedName name="\x" localSheetId="24">#REF!</definedName>
    <definedName name="\x" localSheetId="26">#REF!</definedName>
    <definedName name="\x" localSheetId="25">#REF!</definedName>
    <definedName name="\x" localSheetId="8">#REF!</definedName>
    <definedName name="\x" localSheetId="22">'POA Data'!#REF!</definedName>
    <definedName name="\x">#REF!</definedName>
    <definedName name="\z" localSheetId="23">'F10_Excluding POA'!#REF!</definedName>
    <definedName name="\z" localSheetId="21">'F10_Including POA'!#REF!</definedName>
    <definedName name="\z" localSheetId="24">#REF!</definedName>
    <definedName name="\z" localSheetId="26">#REF!</definedName>
    <definedName name="\z" localSheetId="25">#REF!</definedName>
    <definedName name="\z" localSheetId="8">#REF!</definedName>
    <definedName name="\z" localSheetId="22">'POA Data'!#REF!</definedName>
    <definedName name="\z">#REF!</definedName>
    <definedName name="_" localSheetId="23">'F10_Excluding POA'!#REF!</definedName>
    <definedName name="_" localSheetId="21">'F10_Including POA'!#REF!</definedName>
    <definedName name="_" localSheetId="24">#REF!</definedName>
    <definedName name="_" localSheetId="26">#REF!</definedName>
    <definedName name="_" localSheetId="25">#REF!</definedName>
    <definedName name="_" localSheetId="8">#REF!</definedName>
    <definedName name="_" localSheetId="22">'POA Data'!#REF!</definedName>
    <definedName name="_">#REF!</definedName>
    <definedName name="_.._D__D__D__D_" localSheetId="23">'F10_Excluding POA'!#REF!</definedName>
    <definedName name="_.._D__D__D__D_" localSheetId="21">'F10_Including POA'!#REF!</definedName>
    <definedName name="_.._D__D__D__D_" localSheetId="24">#REF!</definedName>
    <definedName name="_.._D__D__D__D_" localSheetId="26">#REF!</definedName>
    <definedName name="_.._D__D__D__D_" localSheetId="25">#REF!</definedName>
    <definedName name="_.._D__D__D__D_" localSheetId="8">#REF!</definedName>
    <definedName name="_.._D__D__D__D_" localSheetId="22">'POA Data'!#REF!</definedName>
    <definedName name="_.._D__D__D__D_">#REF!</definedName>
    <definedName name="_________XL__ENTER_UNIT" localSheetId="23">'F10_Excluding POA'!#REF!</definedName>
    <definedName name="_________XL__ENTER_UNIT" localSheetId="21">'F10_Including POA'!#REF!</definedName>
    <definedName name="_________XL__ENTER_UNIT" localSheetId="24">#REF!</definedName>
    <definedName name="_________XL__ENTER_UNIT" localSheetId="26">#REF!</definedName>
    <definedName name="_________XL__ENTER_UNIT" localSheetId="25">#REF!</definedName>
    <definedName name="_________XL__ENTER_UNIT" localSheetId="8">#REF!</definedName>
    <definedName name="_________XL__ENTER_UNIT" localSheetId="22">'POA Data'!#REF!</definedName>
    <definedName name="_________XL__ENTER_UNIT">#REF!</definedName>
    <definedName name="_______SCH6" localSheetId="8">'[1]04REL'!#REF!</definedName>
    <definedName name="_______SCH6" localSheetId="22">'[1]04REL'!#REF!</definedName>
    <definedName name="_______SCH6">'[1]04REL'!#REF!</definedName>
    <definedName name="_______XL__ENTER_UNIT" localSheetId="23">'F10_Excluding POA'!#REF!</definedName>
    <definedName name="_______XL__ENTER_UNIT" localSheetId="21">'F10_Including POA'!#REF!</definedName>
    <definedName name="_______XL__ENTER_UNIT" localSheetId="24">#REF!</definedName>
    <definedName name="_______XL__ENTER_UNIT" localSheetId="26">#REF!</definedName>
    <definedName name="_______XL__ENTER_UNIT" localSheetId="25">#REF!</definedName>
    <definedName name="_______XL__ENTER_UNIT" localSheetId="8">#REF!</definedName>
    <definedName name="_______XL__ENTER_UNIT" localSheetId="17">#REF!</definedName>
    <definedName name="_______XL__ENTER_UNIT" localSheetId="22">'POA Data'!#REF!</definedName>
    <definedName name="_______XL__ENTER_UNIT">#REF!</definedName>
    <definedName name="______SCH6" localSheetId="8">'[1]04REL'!#REF!</definedName>
    <definedName name="______SCH6" localSheetId="17">'[1]04REL'!#REF!</definedName>
    <definedName name="______SCH6" localSheetId="22">'[1]04REL'!#REF!</definedName>
    <definedName name="______SCH6">'[1]04REL'!#REF!</definedName>
    <definedName name="______XL__ENTER_UNIT" localSheetId="23">'F10_Excluding POA'!#REF!</definedName>
    <definedName name="______XL__ENTER_UNIT" localSheetId="21">'F10_Including POA'!#REF!</definedName>
    <definedName name="______XL__ENTER_UNIT" localSheetId="24">#REF!</definedName>
    <definedName name="______XL__ENTER_UNIT" localSheetId="26">#REF!</definedName>
    <definedName name="______XL__ENTER_UNIT" localSheetId="25">#REF!</definedName>
    <definedName name="______XL__ENTER_UNIT" localSheetId="8">#REF!</definedName>
    <definedName name="______XL__ENTER_UNIT" localSheetId="17">#REF!</definedName>
    <definedName name="______XL__ENTER_UNIT" localSheetId="22">'POA Data'!#REF!</definedName>
    <definedName name="______XL__ENTER_UNIT">#REF!</definedName>
    <definedName name="_____SCH6" localSheetId="8">'[1]04REL'!#REF!</definedName>
    <definedName name="_____SCH6" localSheetId="17">'[1]04REL'!#REF!</definedName>
    <definedName name="_____SCH6" localSheetId="22">'[1]04REL'!#REF!</definedName>
    <definedName name="_____SCH6">'[1]04REL'!#REF!</definedName>
    <definedName name="____SCH6" localSheetId="8">'[1]04REL'!#REF!</definedName>
    <definedName name="____SCH6">'[1]04REL'!#REF!</definedName>
    <definedName name="____XL__ENTER_UNIT" localSheetId="23">'F10_Excluding POA'!#REF!</definedName>
    <definedName name="____XL__ENTER_UNIT" localSheetId="21">'F10_Including POA'!#REF!</definedName>
    <definedName name="____XL__ENTER_UNIT" localSheetId="24">#REF!</definedName>
    <definedName name="____XL__ENTER_UNIT" localSheetId="26">#REF!</definedName>
    <definedName name="____XL__ENTER_UNIT" localSheetId="25">#REF!</definedName>
    <definedName name="____XL__ENTER_UNIT" localSheetId="8">#REF!</definedName>
    <definedName name="____XL__ENTER_UNIT" localSheetId="17">#REF!</definedName>
    <definedName name="____XL__ENTER_UNIT" localSheetId="22">'POA Data'!#REF!</definedName>
    <definedName name="____XL__ENTER_UNIT">#REF!</definedName>
    <definedName name="___INDEX_SHEET___ASAP_Utilities" localSheetId="8">#REF!</definedName>
    <definedName name="___INDEX_SHEET___ASAP_Utilities" localSheetId="22">'POA Data'!#REF!</definedName>
    <definedName name="___INDEX_SHEET___ASAP_Utilities">#REF!</definedName>
    <definedName name="___SCH6" localSheetId="8">'[1]04REL'!#REF!</definedName>
    <definedName name="___SCH6" localSheetId="22">'[1]04REL'!#REF!</definedName>
    <definedName name="___SCH6">'[1]04REL'!#REF!</definedName>
    <definedName name="___XL__ENTER_UNIT" localSheetId="23">'F10_Excluding POA'!#REF!</definedName>
    <definedName name="___XL__ENTER_UNIT" localSheetId="21">'F10_Including POA'!#REF!</definedName>
    <definedName name="___XL__ENTER_UNIT" localSheetId="24">#REF!</definedName>
    <definedName name="___XL__ENTER_UNIT" localSheetId="26">#REF!</definedName>
    <definedName name="___XL__ENTER_UNIT" localSheetId="25">#REF!</definedName>
    <definedName name="___XL__ENTER_UNIT" localSheetId="8">#REF!</definedName>
    <definedName name="___XL__ENTER_UNIT" localSheetId="17">#REF!</definedName>
    <definedName name="___XL__ENTER_UNIT" localSheetId="22">'POA Data'!#REF!</definedName>
    <definedName name="___XL__ENTER_UNIT">#REF!</definedName>
    <definedName name="__123Graph_A" localSheetId="23" hidden="1">[2]CE!#REF!</definedName>
    <definedName name="__123Graph_A" localSheetId="21" hidden="1">[2]CE!#REF!</definedName>
    <definedName name="__123Graph_A" localSheetId="24" hidden="1">[2]CE!#REF!</definedName>
    <definedName name="__123Graph_A" localSheetId="26" hidden="1">[2]CE!#REF!</definedName>
    <definedName name="__123Graph_A" localSheetId="25" hidden="1">[2]CE!#REF!</definedName>
    <definedName name="__123Graph_A" localSheetId="8" hidden="1">[2]CE!#REF!</definedName>
    <definedName name="__123Graph_A" hidden="1">[2]CE!#REF!</definedName>
    <definedName name="__123Graph_ASTNPLF" localSheetId="23" hidden="1">[2]CE!#REF!</definedName>
    <definedName name="__123Graph_ASTNPLF" localSheetId="21" hidden="1">[2]CE!#REF!</definedName>
    <definedName name="__123Graph_ASTNPLF" localSheetId="24" hidden="1">[2]CE!#REF!</definedName>
    <definedName name="__123Graph_ASTNPLF" localSheetId="26" hidden="1">[2]CE!#REF!</definedName>
    <definedName name="__123Graph_ASTNPLF" localSheetId="25" hidden="1">[2]CE!#REF!</definedName>
    <definedName name="__123Graph_ASTNPLF" localSheetId="8" hidden="1">[2]CE!#REF!</definedName>
    <definedName name="__123Graph_ASTNPLF" hidden="1">[2]CE!#REF!</definedName>
    <definedName name="__123Graph_B" localSheetId="23" hidden="1">[2]CE!#REF!</definedName>
    <definedName name="__123Graph_B" localSheetId="21" hidden="1">[2]CE!#REF!</definedName>
    <definedName name="__123Graph_B" localSheetId="24" hidden="1">[2]CE!#REF!</definedName>
    <definedName name="__123Graph_B" localSheetId="26" hidden="1">[2]CE!#REF!</definedName>
    <definedName name="__123Graph_B" localSheetId="25" hidden="1">[2]CE!#REF!</definedName>
    <definedName name="__123Graph_B" localSheetId="8" hidden="1">[2]CE!#REF!</definedName>
    <definedName name="__123Graph_B" hidden="1">[2]CE!#REF!</definedName>
    <definedName name="__123Graph_BSTNPLF" localSheetId="23" hidden="1">[2]CE!#REF!</definedName>
    <definedName name="__123Graph_BSTNPLF" localSheetId="21" hidden="1">[2]CE!#REF!</definedName>
    <definedName name="__123Graph_BSTNPLF" localSheetId="24" hidden="1">[2]CE!#REF!</definedName>
    <definedName name="__123Graph_BSTNPLF" localSheetId="26" hidden="1">[2]CE!#REF!</definedName>
    <definedName name="__123Graph_BSTNPLF" localSheetId="25" hidden="1">[2]CE!#REF!</definedName>
    <definedName name="__123Graph_BSTNPLF" localSheetId="8" hidden="1">[2]CE!#REF!</definedName>
    <definedName name="__123Graph_BSTNPLF" hidden="1">[2]CE!#REF!</definedName>
    <definedName name="__123Graph_C" localSheetId="23" hidden="1">[2]CE!#REF!</definedName>
    <definedName name="__123Graph_C" localSheetId="21" hidden="1">[2]CE!#REF!</definedName>
    <definedName name="__123Graph_C" localSheetId="24" hidden="1">[2]CE!#REF!</definedName>
    <definedName name="__123Graph_C" localSheetId="26" hidden="1">[2]CE!#REF!</definedName>
    <definedName name="__123Graph_C" localSheetId="25" hidden="1">[2]CE!#REF!</definedName>
    <definedName name="__123Graph_C" localSheetId="8" hidden="1">[2]CE!#REF!</definedName>
    <definedName name="__123Graph_C" hidden="1">[2]CE!#REF!</definedName>
    <definedName name="__123Graph_CSTNPLF" localSheetId="23" hidden="1">[2]CE!#REF!</definedName>
    <definedName name="__123Graph_CSTNPLF" localSheetId="21" hidden="1">[2]CE!#REF!</definedName>
    <definedName name="__123Graph_CSTNPLF" localSheetId="24" hidden="1">[2]CE!#REF!</definedName>
    <definedName name="__123Graph_CSTNPLF" localSheetId="26" hidden="1">[2]CE!#REF!</definedName>
    <definedName name="__123Graph_CSTNPLF" localSheetId="25" hidden="1">[2]CE!#REF!</definedName>
    <definedName name="__123Graph_CSTNPLF" localSheetId="8" hidden="1">[2]CE!#REF!</definedName>
    <definedName name="__123Graph_CSTNPLF" hidden="1">[2]CE!#REF!</definedName>
    <definedName name="__123Graph_X" localSheetId="23" hidden="1">[2]CE!#REF!</definedName>
    <definedName name="__123Graph_X" localSheetId="21" hidden="1">[2]CE!#REF!</definedName>
    <definedName name="__123Graph_X" localSheetId="24" hidden="1">[2]CE!#REF!</definedName>
    <definedName name="__123Graph_X" localSheetId="26" hidden="1">[2]CE!#REF!</definedName>
    <definedName name="__123Graph_X" localSheetId="25" hidden="1">[2]CE!#REF!</definedName>
    <definedName name="__123Graph_X" localSheetId="8" hidden="1">[2]CE!#REF!</definedName>
    <definedName name="__123Graph_X" hidden="1">[2]CE!#REF!</definedName>
    <definedName name="__123Graph_XSTNPLF" localSheetId="23" hidden="1">[2]CE!#REF!</definedName>
    <definedName name="__123Graph_XSTNPLF" localSheetId="21" hidden="1">[2]CE!#REF!</definedName>
    <definedName name="__123Graph_XSTNPLF" localSheetId="24" hidden="1">[2]CE!#REF!</definedName>
    <definedName name="__123Graph_XSTNPLF" localSheetId="26" hidden="1">[2]CE!#REF!</definedName>
    <definedName name="__123Graph_XSTNPLF" localSheetId="25" hidden="1">[2]CE!#REF!</definedName>
    <definedName name="__123Graph_XSTNPLF" localSheetId="8" hidden="1">[2]CE!#REF!</definedName>
    <definedName name="__123Graph_XSTNPLF" hidden="1">[2]CE!#REF!</definedName>
    <definedName name="__DOWN_10__GOTO" localSheetId="23">'F10_Excluding POA'!#REF!</definedName>
    <definedName name="__DOWN_10__GOTO" localSheetId="21">'F10_Including POA'!#REF!</definedName>
    <definedName name="__DOWN_10__GOTO" localSheetId="24">#REF!</definedName>
    <definedName name="__DOWN_10__GOTO" localSheetId="26">#REF!</definedName>
    <definedName name="__DOWN_10__GOTO" localSheetId="25">#REF!</definedName>
    <definedName name="__DOWN_10__GOTO" localSheetId="8">#REF!</definedName>
    <definedName name="__DOWN_10__GOTO" localSheetId="17">#REF!</definedName>
    <definedName name="__DOWN_10__GOTO" localSheetId="22">'POA Data'!#REF!</definedName>
    <definedName name="__DOWN_10__GOTO">#REF!</definedName>
    <definedName name="__ES84__EW84_0." localSheetId="23">'F10_Excluding POA'!#REF!</definedName>
    <definedName name="__ES84__EW84_0." localSheetId="21">'F10_Including POA'!#REF!</definedName>
    <definedName name="__ES84__EW84_0." localSheetId="24">#REF!</definedName>
    <definedName name="__ES84__EW84_0." localSheetId="26">#REF!</definedName>
    <definedName name="__ES84__EW84_0." localSheetId="25">#REF!</definedName>
    <definedName name="__ES84__EW84_0." localSheetId="8">#REF!</definedName>
    <definedName name="__ES84__EW84_0." localSheetId="22">'POA Data'!#REF!</definedName>
    <definedName name="__ES84__EW84_0.">#REF!</definedName>
    <definedName name="__GOTO_EP84__AV" localSheetId="23">'F10_Excluding POA'!#REF!</definedName>
    <definedName name="__GOTO_EP84__AV" localSheetId="21">'F10_Including POA'!#REF!</definedName>
    <definedName name="__GOTO_EP84__AV" localSheetId="24">#REF!</definedName>
    <definedName name="__GOTO_EP84__AV" localSheetId="26">#REF!</definedName>
    <definedName name="__GOTO_EP84__AV" localSheetId="25">#REF!</definedName>
    <definedName name="__GOTO_EP84__AV" localSheetId="8">#REF!</definedName>
    <definedName name="__GOTO_EP84__AV" localSheetId="22">'POA Data'!#REF!</definedName>
    <definedName name="__GOTO_EP84__AV">#REF!</definedName>
    <definedName name="__SCH6" localSheetId="8">'[1]04REL'!#REF!</definedName>
    <definedName name="__SCH6" localSheetId="22">'[1]04REL'!#REF!</definedName>
    <definedName name="__SCH6">'[1]04REL'!#REF!</definedName>
    <definedName name="__SUM_CS57..CS6" localSheetId="23">'F10_Excluding POA'!#REF!</definedName>
    <definedName name="__SUM_CS57..CS6" localSheetId="21">'F10_Including POA'!#REF!</definedName>
    <definedName name="__SUM_CS57..CS6" localSheetId="24">#REF!</definedName>
    <definedName name="__SUM_CS57..CS6" localSheetId="26">#REF!</definedName>
    <definedName name="__SUM_CS57..CS6" localSheetId="25">#REF!</definedName>
    <definedName name="__SUM_CS57..CS6" localSheetId="8">#REF!</definedName>
    <definedName name="__SUM_CS57..CS6" localSheetId="17">#REF!</definedName>
    <definedName name="__SUM_CS57..CS6" localSheetId="22">'POA Data'!#REF!</definedName>
    <definedName name="__SUM_CS57..CS6">#REF!</definedName>
    <definedName name="__SUM_CS65..CS7" localSheetId="23">'F10_Excluding POA'!#REF!</definedName>
    <definedName name="__SUM_CS65..CS7" localSheetId="21">'F10_Including POA'!#REF!</definedName>
    <definedName name="__SUM_CS65..CS7" localSheetId="24">#REF!</definedName>
    <definedName name="__SUM_CS65..CS7" localSheetId="26">#REF!</definedName>
    <definedName name="__SUM_CS65..CS7" localSheetId="25">#REF!</definedName>
    <definedName name="__SUM_CS65..CS7" localSheetId="8">#REF!</definedName>
    <definedName name="__SUM_CS65..CS7" localSheetId="22">'POA Data'!#REF!</definedName>
    <definedName name="__SUM_CS65..CS7">#REF!</definedName>
    <definedName name="__SUM_FQ20..FQ2" localSheetId="23">'F10_Excluding POA'!#REF!</definedName>
    <definedName name="__SUM_FQ20..FQ2" localSheetId="21">'F10_Including POA'!#REF!</definedName>
    <definedName name="__SUM_FQ20..FQ2" localSheetId="24">#REF!</definedName>
    <definedName name="__SUM_FQ20..FQ2" localSheetId="26">#REF!</definedName>
    <definedName name="__SUM_FQ20..FQ2" localSheetId="25">#REF!</definedName>
    <definedName name="__SUM_FQ20..FQ2" localSheetId="8">#REF!</definedName>
    <definedName name="__SUM_FQ20..FQ2" localSheetId="22">'POA Data'!#REF!</definedName>
    <definedName name="__SUM_FQ20..FQ2">#REF!</definedName>
    <definedName name="__SUM_FQ28..FQ3" localSheetId="23">'F10_Excluding POA'!#REF!</definedName>
    <definedName name="__SUM_FQ28..FQ3" localSheetId="21">'F10_Including POA'!#REF!</definedName>
    <definedName name="__SUM_FQ28..FQ3" localSheetId="24">#REF!</definedName>
    <definedName name="__SUM_FQ28..FQ3" localSheetId="26">#REF!</definedName>
    <definedName name="__SUM_FQ28..FQ3" localSheetId="25">#REF!</definedName>
    <definedName name="__SUM_FQ28..FQ3" localSheetId="8">#REF!</definedName>
    <definedName name="__SUM_FQ28..FQ3" localSheetId="22">'POA Data'!#REF!</definedName>
    <definedName name="__SUM_FQ28..FQ3">#REF!</definedName>
    <definedName name="__XL__ENTER_UNIT" localSheetId="23">'F10_Excluding POA'!#REF!</definedName>
    <definedName name="__XL__ENTER_UNIT" localSheetId="21">'F10_Including POA'!#REF!</definedName>
    <definedName name="__XL__ENTER_UNIT" localSheetId="24">#REF!</definedName>
    <definedName name="__XL__ENTER_UNIT" localSheetId="26">#REF!</definedName>
    <definedName name="__XL__ENTER_UNIT" localSheetId="25">#REF!</definedName>
    <definedName name="__XL__ENTER_UNIT" localSheetId="8">#REF!</definedName>
    <definedName name="__XL__ENTER_UNIT" localSheetId="22">'POA Data'!#REF!</definedName>
    <definedName name="__XL__ENTER_UNIT">#REF!</definedName>
    <definedName name="_5" localSheetId="23">'F10_Excluding POA'!#REF!</definedName>
    <definedName name="_5" localSheetId="21">'F10_Including POA'!#REF!</definedName>
    <definedName name="_5" localSheetId="24">#REF!</definedName>
    <definedName name="_5" localSheetId="26">#REF!</definedName>
    <definedName name="_5" localSheetId="25">#REF!</definedName>
    <definedName name="_5" localSheetId="8">#REF!</definedName>
    <definedName name="_5" localSheetId="22">'POA Data'!#REF!</definedName>
    <definedName name="_5">#REF!</definedName>
    <definedName name="_6" localSheetId="23">'F10_Excluding POA'!#REF!</definedName>
    <definedName name="_6" localSheetId="21">'F10_Including POA'!#REF!</definedName>
    <definedName name="_6" localSheetId="24">#REF!</definedName>
    <definedName name="_6" localSheetId="26">#REF!</definedName>
    <definedName name="_6" localSheetId="25">#REF!</definedName>
    <definedName name="_6" localSheetId="8">#REF!</definedName>
    <definedName name="_6" localSheetId="22">'POA Data'!#REF!</definedName>
    <definedName name="_6">#REF!</definedName>
    <definedName name="_D___GOTO_GK112" localSheetId="23">'F10_Excluding POA'!#REF!</definedName>
    <definedName name="_D___GOTO_GK112" localSheetId="21">'F10_Including POA'!#REF!</definedName>
    <definedName name="_D___GOTO_GK112" localSheetId="24">#REF!</definedName>
    <definedName name="_D___GOTO_GK112" localSheetId="26">#REF!</definedName>
    <definedName name="_D___GOTO_GK112" localSheetId="25">#REF!</definedName>
    <definedName name="_D___GOTO_GK112" localSheetId="8">#REF!</definedName>
    <definedName name="_D___GOTO_GK112" localSheetId="22">'POA Data'!#REF!</definedName>
    <definedName name="_D___GOTO_GK112">#REF!</definedName>
    <definedName name="_D___GOTO_GK56_" localSheetId="23">'F10_Excluding POA'!#REF!</definedName>
    <definedName name="_D___GOTO_GK56_" localSheetId="21">'F10_Including POA'!#REF!</definedName>
    <definedName name="_D___GOTO_GK56_" localSheetId="24">#REF!</definedName>
    <definedName name="_D___GOTO_GK56_" localSheetId="26">#REF!</definedName>
    <definedName name="_D___GOTO_GK56_" localSheetId="25">#REF!</definedName>
    <definedName name="_D___GOTO_GK56_" localSheetId="8">#REF!</definedName>
    <definedName name="_D___GOTO_GK56_" localSheetId="22">'POA Data'!#REF!</definedName>
    <definedName name="_D___GOTO_GK56_">#REF!</definedName>
    <definedName name="_D__D___L___GOT" localSheetId="23">'F10_Excluding POA'!#REF!</definedName>
    <definedName name="_D__D___L___GOT" localSheetId="21">'F10_Including POA'!#REF!</definedName>
    <definedName name="_D__D___L___GOT" localSheetId="24">#REF!</definedName>
    <definedName name="_D__D___L___GOT" localSheetId="26">#REF!</definedName>
    <definedName name="_D__D___L___GOT" localSheetId="25">#REF!</definedName>
    <definedName name="_D__D___L___GOT" localSheetId="8">#REF!</definedName>
    <definedName name="_D__D___L___GOT" localSheetId="22">'POA Data'!#REF!</definedName>
    <definedName name="_D__D___L___GOT">#REF!</definedName>
    <definedName name="_D__D__D___D__D" localSheetId="23">'F10_Excluding POA'!#REF!</definedName>
    <definedName name="_D__D__D___D__D" localSheetId="21">'F10_Including POA'!#REF!</definedName>
    <definedName name="_D__D__D___D__D" localSheetId="24">#REF!</definedName>
    <definedName name="_D__D__D___D__D" localSheetId="26">#REF!</definedName>
    <definedName name="_D__D__D___D__D" localSheetId="25">#REF!</definedName>
    <definedName name="_D__D__D___D__D" localSheetId="8">#REF!</definedName>
    <definedName name="_D__D__D___D__D" localSheetId="22">'POA Data'!#REF!</definedName>
    <definedName name="_D__D__D___D__D">#REF!</definedName>
    <definedName name="_D_19__U_19_" localSheetId="23">'F10_Excluding POA'!#REF!</definedName>
    <definedName name="_D_19__U_19_" localSheetId="21">'F10_Including POA'!#REF!</definedName>
    <definedName name="_D_19__U_19_" localSheetId="24">#REF!</definedName>
    <definedName name="_D_19__U_19_" localSheetId="26">#REF!</definedName>
    <definedName name="_D_19__U_19_" localSheetId="25">#REF!</definedName>
    <definedName name="_D_19__U_19_" localSheetId="8">#REF!</definedName>
    <definedName name="_D_19__U_19_" localSheetId="22">'POA Data'!#REF!</definedName>
    <definedName name="_D_19__U_19_">#REF!</definedName>
    <definedName name="_DOWN_9__RIGHT_" localSheetId="23">'F10_Excluding POA'!#REF!</definedName>
    <definedName name="_DOWN_9__RIGHT_" localSheetId="21">'F10_Including POA'!#REF!</definedName>
    <definedName name="_DOWN_9__RIGHT_" localSheetId="24">#REF!</definedName>
    <definedName name="_DOWN_9__RIGHT_" localSheetId="26">#REF!</definedName>
    <definedName name="_DOWN_9__RIGHT_" localSheetId="25">#REF!</definedName>
    <definedName name="_DOWN_9__RIGHT_" localSheetId="8">#REF!</definedName>
    <definedName name="_DOWN_9__RIGHT_" localSheetId="22">'POA Data'!#REF!</definedName>
    <definedName name="_DOWN_9__RIGHT_">#REF!</definedName>
    <definedName name="_Fill" localSheetId="23" hidden="1">'F10_Excluding POA'!#REF!</definedName>
    <definedName name="_Fill" localSheetId="21" hidden="1">'F10_Including POA'!#REF!</definedName>
    <definedName name="_Fill" localSheetId="24" hidden="1">#REF!</definedName>
    <definedName name="_Fill" localSheetId="26" hidden="1">#REF!</definedName>
    <definedName name="_Fill" localSheetId="25" hidden="1">#REF!</definedName>
    <definedName name="_Fill" localSheetId="8" hidden="1">#REF!</definedName>
    <definedName name="_Fill" localSheetId="17" hidden="1">#REF!</definedName>
    <definedName name="_Fill" localSheetId="22" hidden="1">'POA Data'!#REF!</definedName>
    <definedName name="_Fill" hidden="1">#REF!</definedName>
    <definedName name="_FROM__R__R__08" localSheetId="23">'F10_Excluding POA'!#REF!</definedName>
    <definedName name="_FROM__R__R__08" localSheetId="21">'F10_Including POA'!#REF!</definedName>
    <definedName name="_FROM__R__R__08" localSheetId="24">#REF!</definedName>
    <definedName name="_FROM__R__R__08" localSheetId="26">#REF!</definedName>
    <definedName name="_FROM__R__R__08" localSheetId="25">#REF!</definedName>
    <definedName name="_FROM__R__R__08" localSheetId="8">#REF!</definedName>
    <definedName name="_FROM__R__R__08" localSheetId="17">#REF!</definedName>
    <definedName name="_FROM__R__R__08" localSheetId="22">'POA Data'!#REF!</definedName>
    <definedName name="_FROM__R__R__08">#REF!</definedName>
    <definedName name="_FROM__R__R__16" localSheetId="23">'F10_Excluding POA'!#REF!</definedName>
    <definedName name="_FROM__R__R__16" localSheetId="21">'F10_Including POA'!#REF!</definedName>
    <definedName name="_FROM__R__R__16" localSheetId="24">#REF!</definedName>
    <definedName name="_FROM__R__R__16" localSheetId="26">#REF!</definedName>
    <definedName name="_FROM__R__R__16" localSheetId="25">#REF!</definedName>
    <definedName name="_FROM__R__R__16" localSheetId="8">#REF!</definedName>
    <definedName name="_FROM__R__R__16" localSheetId="22">'POA Data'!#REF!</definedName>
    <definedName name="_FROM__R__R__16">#REF!</definedName>
    <definedName name="_GENERATION__R_" localSheetId="23">'F10_Excluding POA'!#REF!</definedName>
    <definedName name="_GENERATION__R_" localSheetId="21">'F10_Including POA'!#REF!</definedName>
    <definedName name="_GENERATION__R_" localSheetId="24">#REF!</definedName>
    <definedName name="_GENERATION__R_" localSheetId="26">#REF!</definedName>
    <definedName name="_GENERATION__R_" localSheetId="25">#REF!</definedName>
    <definedName name="_GENERATION__R_" localSheetId="8">#REF!</definedName>
    <definedName name="_GENERATION__R_" localSheetId="22">'POA Data'!#REF!</definedName>
    <definedName name="_GENERATION__R_">#REF!</definedName>
    <definedName name="_GOTO_BT49__R__" localSheetId="23">'F10_Excluding POA'!#REF!</definedName>
    <definedName name="_GOTO_BT49__R__" localSheetId="21">'F10_Including POA'!#REF!</definedName>
    <definedName name="_GOTO_BT49__R__" localSheetId="24">#REF!</definedName>
    <definedName name="_GOTO_BT49__R__" localSheetId="26">#REF!</definedName>
    <definedName name="_GOTO_BT49__R__" localSheetId="25">#REF!</definedName>
    <definedName name="_GOTO_BT49__R__" localSheetId="8">#REF!</definedName>
    <definedName name="_GOTO_BT49__R__" localSheetId="22">'POA Data'!#REF!</definedName>
    <definedName name="_GOTO_BT49__R__">#REF!</definedName>
    <definedName name="_GOTO_CF11__?__" localSheetId="23">'F10_Excluding POA'!#REF!</definedName>
    <definedName name="_GOTO_CF11__?__" localSheetId="21">'F10_Including POA'!#REF!</definedName>
    <definedName name="_GOTO_CF11__?__" localSheetId="24">#REF!</definedName>
    <definedName name="_GOTO_CF11__?__" localSheetId="26">#REF!</definedName>
    <definedName name="_GOTO_CF11__?__" localSheetId="25">#REF!</definedName>
    <definedName name="_GOTO_CF11__?__" localSheetId="8">#REF!</definedName>
    <definedName name="_GOTO_CF11__?__" localSheetId="22">'POA Data'!#REF!</definedName>
    <definedName name="_GOTO_CF11__?__">#REF!</definedName>
    <definedName name="_GOTO_EO75__WEK" localSheetId="23">'F10_Excluding POA'!#REF!</definedName>
    <definedName name="_GOTO_EO75__WEK" localSheetId="21">'F10_Including POA'!#REF!</definedName>
    <definedName name="_GOTO_EO75__WEK" localSheetId="24">#REF!</definedName>
    <definedName name="_GOTO_EO75__WEK" localSheetId="26">#REF!</definedName>
    <definedName name="_GOTO_EO75__WEK" localSheetId="25">#REF!</definedName>
    <definedName name="_GOTO_EO75__WEK" localSheetId="8">#REF!</definedName>
    <definedName name="_GOTO_EO75__WEK" localSheetId="22">'POA Data'!#REF!</definedName>
    <definedName name="_GOTO_EO75__WEK">#REF!</definedName>
    <definedName name="_GOTO_EP82__PEA" localSheetId="23">'F10_Excluding POA'!#REF!</definedName>
    <definedName name="_GOTO_EP82__PEA" localSheetId="21">'F10_Including POA'!#REF!</definedName>
    <definedName name="_GOTO_EP82__PEA" localSheetId="24">#REF!</definedName>
    <definedName name="_GOTO_EP82__PEA" localSheetId="26">#REF!</definedName>
    <definedName name="_GOTO_EP82__PEA" localSheetId="25">#REF!</definedName>
    <definedName name="_GOTO_EP82__PEA" localSheetId="8">#REF!</definedName>
    <definedName name="_GOTO_EP82__PEA" localSheetId="22">'POA Data'!#REF!</definedName>
    <definedName name="_GOTO_EP82__PEA">#REF!</definedName>
    <definedName name="_GOTO_EP86__PER" localSheetId="23">'F10_Excluding POA'!#REF!</definedName>
    <definedName name="_GOTO_EP86__PER" localSheetId="21">'F10_Including POA'!#REF!</definedName>
    <definedName name="_GOTO_EP86__PER" localSheetId="24">#REF!</definedName>
    <definedName name="_GOTO_EP86__PER" localSheetId="26">#REF!</definedName>
    <definedName name="_GOTO_EP86__PER" localSheetId="25">#REF!</definedName>
    <definedName name="_GOTO_EP86__PER" localSheetId="8">#REF!</definedName>
    <definedName name="_GOTO_EP86__PER" localSheetId="22">'POA Data'!#REF!</definedName>
    <definedName name="_GOTO_EP86__PER">#REF!</definedName>
    <definedName name="_GOTO_FO112__RV" localSheetId="23">'F10_Excluding POA'!#REF!</definedName>
    <definedName name="_GOTO_FO112__RV" localSheetId="21">'F10_Including POA'!#REF!</definedName>
    <definedName name="_GOTO_FO112__RV" localSheetId="24">#REF!</definedName>
    <definedName name="_GOTO_FO112__RV" localSheetId="26">#REF!</definedName>
    <definedName name="_GOTO_FO112__RV" localSheetId="25">#REF!</definedName>
    <definedName name="_GOTO_FO112__RV" localSheetId="8">#REF!</definedName>
    <definedName name="_GOTO_FO112__RV" localSheetId="22">'POA Data'!#REF!</definedName>
    <definedName name="_GOTO_FO112__RV">#REF!</definedName>
    <definedName name="_GOTO_FO56__RV_" localSheetId="23">'F10_Excluding POA'!#REF!</definedName>
    <definedName name="_GOTO_FO56__RV_" localSheetId="21">'F10_Including POA'!#REF!</definedName>
    <definedName name="_GOTO_FO56__RV_" localSheetId="24">#REF!</definedName>
    <definedName name="_GOTO_FO56__RV_" localSheetId="26">#REF!</definedName>
    <definedName name="_GOTO_FO56__RV_" localSheetId="25">#REF!</definedName>
    <definedName name="_GOTO_FO56__RV_" localSheetId="8">#REF!</definedName>
    <definedName name="_GOTO_FO56__RV_" localSheetId="22">'POA Data'!#REF!</definedName>
    <definedName name="_GOTO_FO56__RV_">#REF!</definedName>
    <definedName name="_HOME__GOTO_M14" localSheetId="23">'F10_Excluding POA'!#REF!</definedName>
    <definedName name="_HOME__GOTO_M14" localSheetId="21">'F10_Including POA'!#REF!</definedName>
    <definedName name="_HOME__GOTO_M14" localSheetId="24">#REF!</definedName>
    <definedName name="_HOME__GOTO_M14" localSheetId="26">#REF!</definedName>
    <definedName name="_HOME__GOTO_M14" localSheetId="25">#REF!</definedName>
    <definedName name="_HOME__GOTO_M14" localSheetId="8">#REF!</definedName>
    <definedName name="_HOME__GOTO_M14" localSheetId="22">'POA Data'!#REF!</definedName>
    <definedName name="_HOME__GOTO_M14">#REF!</definedName>
    <definedName name="_Order1" hidden="1">255</definedName>
    <definedName name="_PLF__R__R___ES" localSheetId="23">'F10_Excluding POA'!#REF!</definedName>
    <definedName name="_PLF__R__R___ES" localSheetId="21">'F10_Including POA'!#REF!</definedName>
    <definedName name="_PLF__R__R___ES" localSheetId="24">#REF!</definedName>
    <definedName name="_PLF__R__R___ES" localSheetId="26">#REF!</definedName>
    <definedName name="_PLF__R__R___ES" localSheetId="25">#REF!</definedName>
    <definedName name="_PLF__R__R___ES" localSheetId="8">#REF!</definedName>
    <definedName name="_PLF__R__R___ES" localSheetId="17">#REF!</definedName>
    <definedName name="_PLF__R__R___ES" localSheetId="22">'POA Data'!#REF!</definedName>
    <definedName name="_PLF__R__R___ES">#REF!</definedName>
    <definedName name="_RV_DOWN_6__LEF" localSheetId="23">'F10_Excluding POA'!#REF!</definedName>
    <definedName name="_RV_DOWN_6__LEF" localSheetId="21">'F10_Including POA'!#REF!</definedName>
    <definedName name="_RV_DOWN_6__LEF" localSheetId="24">#REF!</definedName>
    <definedName name="_RV_DOWN_6__LEF" localSheetId="26">#REF!</definedName>
    <definedName name="_RV_DOWN_6__LEF" localSheetId="25">#REF!</definedName>
    <definedName name="_RV_DOWN_6__LEF" localSheetId="8">#REF!</definedName>
    <definedName name="_RV_DOWN_6__LEF" localSheetId="22">'POA Data'!#REF!</definedName>
    <definedName name="_RV_DOWN_6__LEF">#REF!</definedName>
    <definedName name="_SCH6" localSheetId="23">'[1]04REL'!#REF!</definedName>
    <definedName name="_SCH6" localSheetId="21">'[1]04REL'!#REF!</definedName>
    <definedName name="_SCH6" localSheetId="24">'[1]04REL'!#REF!</definedName>
    <definedName name="_SCH6" localSheetId="26">'[1]04REL'!#REF!</definedName>
    <definedName name="_SCH6" localSheetId="25">'[1]04REL'!#REF!</definedName>
    <definedName name="_SCH6" localSheetId="8">'[1]04REL'!#REF!</definedName>
    <definedName name="_SCH6" localSheetId="11">'[1]04REL'!#REF!</definedName>
    <definedName name="_SCH6" localSheetId="16">'[1]04REL'!#REF!</definedName>
    <definedName name="_SCH6">'[1]04REL'!#REF!</definedName>
    <definedName name="_SUM_DI14..DI21" localSheetId="23">'F10_Excluding POA'!#REF!</definedName>
    <definedName name="_SUM_DI14..DI21" localSheetId="21">'F10_Including POA'!#REF!</definedName>
    <definedName name="_SUM_DI14..DI21" localSheetId="24">#REF!</definedName>
    <definedName name="_SUM_DI14..DI21" localSheetId="26">#REF!</definedName>
    <definedName name="_SUM_DI14..DI21" localSheetId="25">#REF!</definedName>
    <definedName name="_SUM_DI14..DI21" localSheetId="8">#REF!</definedName>
    <definedName name="_SUM_DI14..DI21" localSheetId="17">#REF!</definedName>
    <definedName name="_SUM_DI14..DI21" localSheetId="22">'POA Data'!#REF!</definedName>
    <definedName name="_SUM_DI14..DI21">#REF!</definedName>
    <definedName name="_SUM_DI22..DI29" localSheetId="23">'F10_Excluding POA'!#REF!</definedName>
    <definedName name="_SUM_DI22..DI29" localSheetId="21">'F10_Including POA'!#REF!</definedName>
    <definedName name="_SUM_DI22..DI29" localSheetId="24">#REF!</definedName>
    <definedName name="_SUM_DI22..DI29" localSheetId="26">#REF!</definedName>
    <definedName name="_SUM_DI22..DI29" localSheetId="25">#REF!</definedName>
    <definedName name="_SUM_DI22..DI29" localSheetId="8">#REF!</definedName>
    <definedName name="_SUM_DI22..DI29" localSheetId="22">'POA Data'!#REF!</definedName>
    <definedName name="_SUM_DI22..DI29">#REF!</definedName>
    <definedName name="_U__END__U__D__" localSheetId="23">'F10_Excluding POA'!#REF!</definedName>
    <definedName name="_U__END__U__D__" localSheetId="21">'F10_Including POA'!#REF!</definedName>
    <definedName name="_U__END__U__D__" localSheetId="24">#REF!</definedName>
    <definedName name="_U__END__U__D__" localSheetId="26">#REF!</definedName>
    <definedName name="_U__END__U__D__" localSheetId="25">#REF!</definedName>
    <definedName name="_U__END__U__D__" localSheetId="8">#REF!</definedName>
    <definedName name="_U__END__U__D__" localSheetId="22">'POA Data'!#REF!</definedName>
    <definedName name="_U__END__U__D__">#REF!</definedName>
    <definedName name="_U__U__END__U__" localSheetId="23">'F10_Excluding POA'!#REF!</definedName>
    <definedName name="_U__U__END__U__" localSheetId="21">'F10_Including POA'!#REF!</definedName>
    <definedName name="_U__U__END__U__" localSheetId="24">#REF!</definedName>
    <definedName name="_U__U__END__U__" localSheetId="26">#REF!</definedName>
    <definedName name="_U__U__END__U__" localSheetId="25">#REF!</definedName>
    <definedName name="_U__U__END__U__" localSheetId="8">#REF!</definedName>
    <definedName name="_U__U__END__U__" localSheetId="22">'POA Data'!#REF!</definedName>
    <definedName name="_U__U__END__U__">#REF!</definedName>
    <definedName name="_U__U__U__U__U_" localSheetId="23">'F10_Excluding POA'!#REF!</definedName>
    <definedName name="_U__U__U__U__U_" localSheetId="21">'F10_Including POA'!#REF!</definedName>
    <definedName name="_U__U__U__U__U_" localSheetId="24">#REF!</definedName>
    <definedName name="_U__U__U__U__U_" localSheetId="26">#REF!</definedName>
    <definedName name="_U__U__U__U__U_" localSheetId="25">#REF!</definedName>
    <definedName name="_U__U__U__U__U_" localSheetId="8">#REF!</definedName>
    <definedName name="_U__U__U__U__U_" localSheetId="22">'POA Data'!#REF!</definedName>
    <definedName name="_U__U__U__U__U_">#REF!</definedName>
    <definedName name="_WGPD_GOTO_CO10" localSheetId="23">'F10_Excluding POA'!#REF!</definedName>
    <definedName name="_WGPD_GOTO_CO10" localSheetId="21">'F10_Including POA'!#REF!</definedName>
    <definedName name="_WGPD_GOTO_CO10" localSheetId="24">#REF!</definedName>
    <definedName name="_WGPD_GOTO_CO10" localSheetId="26">#REF!</definedName>
    <definedName name="_WGPD_GOTO_CO10" localSheetId="25">#REF!</definedName>
    <definedName name="_WGPD_GOTO_CO10" localSheetId="8">#REF!</definedName>
    <definedName name="_WGPD_GOTO_CO10" localSheetId="22">'POA Data'!#REF!</definedName>
    <definedName name="_WGPD_GOTO_CO10">#REF!</definedName>
    <definedName name="A" localSheetId="23">'F10_Excluding POA'!#REF!</definedName>
    <definedName name="A" localSheetId="21">'F10_Including POA'!#REF!</definedName>
    <definedName name="A" localSheetId="24">#REF!</definedName>
    <definedName name="A" localSheetId="26">#REF!</definedName>
    <definedName name="A" localSheetId="25">#REF!</definedName>
    <definedName name="A" localSheetId="2">#REF!</definedName>
    <definedName name="A" localSheetId="8">#REF!</definedName>
    <definedName name="A" localSheetId="16">#REF!</definedName>
    <definedName name="A" localSheetId="22">'POA Data'!#REF!</definedName>
    <definedName name="A">#REF!</definedName>
    <definedName name="ADL.63">[3]Addl.40!$A$38:$I$284</definedName>
    <definedName name="AuBhu0910" localSheetId="17">[4]Assumption_PwC!$D$7</definedName>
    <definedName name="AuBhu0910">[5]Assumption_PwC!$D$7</definedName>
    <definedName name="AuBhu1011" localSheetId="17">[4]Assumption_PwC!$E$7</definedName>
    <definedName name="AuBhu1011">[5]Assumption_PwC!$E$7</definedName>
    <definedName name="AuCha0910" localSheetId="17">[4]Assumption_PwC!$D$8</definedName>
    <definedName name="AuCha0910">[5]Assumption_PwC!$D$8</definedName>
    <definedName name="AV" localSheetId="23">'F10_Excluding POA'!#REF!</definedName>
    <definedName name="AV" localSheetId="21">'F10_Including POA'!#REF!</definedName>
    <definedName name="AV" localSheetId="24">#REF!</definedName>
    <definedName name="AV" localSheetId="26">#REF!</definedName>
    <definedName name="AV" localSheetId="25">#REF!</definedName>
    <definedName name="AV" localSheetId="8">#REF!</definedName>
    <definedName name="AV" localSheetId="17">#REF!</definedName>
    <definedName name="AV" localSheetId="22">'POA Data'!#REF!</definedName>
    <definedName name="AV">#REF!</definedName>
    <definedName name="C_Data_1" localSheetId="23">'[6]2000-01'!#REF!</definedName>
    <definedName name="C_Data_1" localSheetId="21">'[6]2000-01'!#REF!</definedName>
    <definedName name="C_Data_1" localSheetId="24">'[6]2000-01'!#REF!</definedName>
    <definedName name="C_Data_1" localSheetId="26">'[6]2000-01'!#REF!</definedName>
    <definedName name="C_Data_1" localSheetId="25">'[6]2000-01'!#REF!</definedName>
    <definedName name="C_Data_1" localSheetId="8">'[6]2000-01'!#REF!</definedName>
    <definedName name="C_Data_1" localSheetId="17">'[6]2000-01'!#REF!</definedName>
    <definedName name="C_Data_1">'[6]2000-01'!#REF!</definedName>
    <definedName name="C_Data_2" localSheetId="23">'[6]2000-01'!#REF!</definedName>
    <definedName name="C_Data_2" localSheetId="21">'[6]2000-01'!#REF!</definedName>
    <definedName name="C_Data_2" localSheetId="24">'[6]2000-01'!#REF!</definedName>
    <definedName name="C_Data_2" localSheetId="26">'[6]2000-01'!#REF!</definedName>
    <definedName name="C_Data_2" localSheetId="25">'[6]2000-01'!#REF!</definedName>
    <definedName name="C_Data_2" localSheetId="8">'[6]2000-01'!#REF!</definedName>
    <definedName name="C_Data_2">'[6]2000-01'!#REF!</definedName>
    <definedName name="CM10_C_RIGHT___" localSheetId="23">'F10_Excluding POA'!#REF!</definedName>
    <definedName name="CM10_C_RIGHT___" localSheetId="21">'F10_Including POA'!#REF!</definedName>
    <definedName name="CM10_C_RIGHT___" localSheetId="24">#REF!</definedName>
    <definedName name="CM10_C_RIGHT___" localSheetId="26">#REF!</definedName>
    <definedName name="CM10_C_RIGHT___" localSheetId="25">#REF!</definedName>
    <definedName name="CM10_C_RIGHT___" localSheetId="8">#REF!</definedName>
    <definedName name="CM10_C_RIGHT___" localSheetId="17">#REF!</definedName>
    <definedName name="CM10_C_RIGHT___" localSheetId="22">'POA Data'!#REF!</definedName>
    <definedName name="CM10_C_RIGHT___">#REF!</definedName>
    <definedName name="CV" localSheetId="23">'F10_Excluding POA'!#REF!</definedName>
    <definedName name="CV" localSheetId="21">'F10_Including POA'!#REF!</definedName>
    <definedName name="CV" localSheetId="24">#REF!</definedName>
    <definedName name="CV" localSheetId="26">#REF!</definedName>
    <definedName name="CV" localSheetId="25">#REF!</definedName>
    <definedName name="CV" localSheetId="8">#REF!</definedName>
    <definedName name="CV" localSheetId="22">'POA Data'!#REF!</definedName>
    <definedName name="CV">#REF!</definedName>
    <definedName name="D">#N/A</definedName>
    <definedName name="Debt_Pct">[7]Assumptions!$B$13</definedName>
    <definedName name="dpc">'[8]dpc cost'!$D$1</definedName>
    <definedName name="E_315MVA_Addl_Page1" localSheetId="23">'F10_Excluding POA'!#REF!</definedName>
    <definedName name="E_315MVA_Addl_Page1" localSheetId="21">'F10_Including POA'!#REF!</definedName>
    <definedName name="E_315MVA_Addl_Page1" localSheetId="24">#REF!</definedName>
    <definedName name="E_315MVA_Addl_Page1" localSheetId="26">#REF!</definedName>
    <definedName name="E_315MVA_Addl_Page1" localSheetId="25">#REF!</definedName>
    <definedName name="E_315MVA_Addl_Page1" localSheetId="2">#REF!</definedName>
    <definedName name="E_315MVA_Addl_Page1" localSheetId="8">#REF!</definedName>
    <definedName name="E_315MVA_Addl_Page1" localSheetId="16">#REF!</definedName>
    <definedName name="E_315MVA_Addl_Page1" localSheetId="17">#REF!</definedName>
    <definedName name="E_315MVA_Addl_Page1" localSheetId="22">'POA Data'!#REF!</definedName>
    <definedName name="E_315MVA_Addl_Page1">#REF!</definedName>
    <definedName name="E_315MVA_Addl_Page2" localSheetId="23">'F10_Excluding POA'!#REF!</definedName>
    <definedName name="E_315MVA_Addl_Page2" localSheetId="21">'F10_Including POA'!#REF!</definedName>
    <definedName name="E_315MVA_Addl_Page2" localSheetId="24">#REF!</definedName>
    <definedName name="E_315MVA_Addl_Page2" localSheetId="26">#REF!</definedName>
    <definedName name="E_315MVA_Addl_Page2" localSheetId="25">#REF!</definedName>
    <definedName name="E_315MVA_Addl_Page2" localSheetId="2">#REF!</definedName>
    <definedName name="E_315MVA_Addl_Page2" localSheetId="8">#REF!</definedName>
    <definedName name="E_315MVA_Addl_Page2" localSheetId="16">#REF!</definedName>
    <definedName name="E_315MVA_Addl_Page2" localSheetId="22">'POA Data'!#REF!</definedName>
    <definedName name="E_315MVA_Addl_Page2">#REF!</definedName>
    <definedName name="Erai_level">[9]Level_qty!$B$8:$C$528</definedName>
    <definedName name="Esc_AGExp">[10]Assumptions!$B$4</definedName>
    <definedName name="Esc_Coal">[7]Assumptions!$B$6</definedName>
    <definedName name="Esc_DomGas">[7]Assumptions!$B$8</definedName>
    <definedName name="Esc_EmpExp">[7]Assumptions!$B$3</definedName>
    <definedName name="Esc_LNGas">[7]Assumptions!$B$9</definedName>
    <definedName name="Esc_Oil">[7]Assumptions!$B$7</definedName>
    <definedName name="Esc_OtherVarCharge">[7]Assumptions!$B$10</definedName>
    <definedName name="Esc_RMExp">[10]Assumptions!$B$5</definedName>
    <definedName name="EscAGExp" localSheetId="23">'F10_Excluding POA'!#REF!</definedName>
    <definedName name="EscAGExp" localSheetId="21">'F10_Including POA'!#REF!</definedName>
    <definedName name="EscAGExp" localSheetId="24">#REF!</definedName>
    <definedName name="EscAGExp" localSheetId="26">#REF!</definedName>
    <definedName name="EscAGExp" localSheetId="25">#REF!</definedName>
    <definedName name="EscAGExp" localSheetId="8">#REF!</definedName>
    <definedName name="EscAGExp" localSheetId="17">#REF!</definedName>
    <definedName name="EscAGExp" localSheetId="22">'POA Data'!#REF!</definedName>
    <definedName name="EscAGExp">#REF!</definedName>
    <definedName name="EscCoal" localSheetId="23">'F10_Excluding POA'!#REF!</definedName>
    <definedName name="EscCoal" localSheetId="21">'F10_Including POA'!#REF!</definedName>
    <definedName name="EscCoal" localSheetId="24">#REF!</definedName>
    <definedName name="EscCoal" localSheetId="26">#REF!</definedName>
    <definedName name="EscCoal" localSheetId="25">#REF!</definedName>
    <definedName name="EscCoal" localSheetId="8">#REF!</definedName>
    <definedName name="EscCoal" localSheetId="22">'POA Data'!#REF!</definedName>
    <definedName name="EscCoal">#REF!</definedName>
    <definedName name="EscDomGas" localSheetId="23">'F10_Excluding POA'!#REF!</definedName>
    <definedName name="EscDomGas" localSheetId="21">'F10_Including POA'!#REF!</definedName>
    <definedName name="EscDomGas" localSheetId="24">#REF!</definedName>
    <definedName name="EscDomGas" localSheetId="26">#REF!</definedName>
    <definedName name="EscDomGas" localSheetId="25">#REF!</definedName>
    <definedName name="EscDomGas" localSheetId="8">#REF!</definedName>
    <definedName name="EscDomGas" localSheetId="22">'POA Data'!#REF!</definedName>
    <definedName name="EscDomGas">#REF!</definedName>
    <definedName name="EscEmpExp" localSheetId="23">'F10_Excluding POA'!#REF!</definedName>
    <definedName name="EscEmpExp" localSheetId="21">'F10_Including POA'!#REF!</definedName>
    <definedName name="EscEmpExp" localSheetId="24">#REF!</definedName>
    <definedName name="EscEmpExp" localSheetId="26">#REF!</definedName>
    <definedName name="EscEmpExp" localSheetId="25">#REF!</definedName>
    <definedName name="EscEmpExp" localSheetId="8">#REF!</definedName>
    <definedName name="EscEmpExp" localSheetId="22">'POA Data'!#REF!</definedName>
    <definedName name="EscEmpExp">#REF!</definedName>
    <definedName name="EscLNGas" localSheetId="23">'F10_Excluding POA'!#REF!</definedName>
    <definedName name="EscLNGas" localSheetId="21">'F10_Including POA'!#REF!</definedName>
    <definedName name="EscLNGas" localSheetId="24">#REF!</definedName>
    <definedName name="EscLNGas" localSheetId="26">#REF!</definedName>
    <definedName name="EscLNGas" localSheetId="25">#REF!</definedName>
    <definedName name="EscLNGas" localSheetId="8">#REF!</definedName>
    <definedName name="EscLNGas" localSheetId="22">'POA Data'!#REF!</definedName>
    <definedName name="EscLNGas">#REF!</definedName>
    <definedName name="EscOil" localSheetId="23">'F10_Excluding POA'!#REF!</definedName>
    <definedName name="EscOil" localSheetId="21">'F10_Including POA'!#REF!</definedName>
    <definedName name="EscOil" localSheetId="24">#REF!</definedName>
    <definedName name="EscOil" localSheetId="26">#REF!</definedName>
    <definedName name="EscOil" localSheetId="25">#REF!</definedName>
    <definedName name="EscOil" localSheetId="8">#REF!</definedName>
    <definedName name="EscOil" localSheetId="22">'POA Data'!#REF!</definedName>
    <definedName name="EscOil">#REF!</definedName>
    <definedName name="EscOtherIncome" localSheetId="23">'F10_Excluding POA'!#REF!</definedName>
    <definedName name="EscOtherIncome" localSheetId="21">'F10_Including POA'!#REF!</definedName>
    <definedName name="EscOtherIncome" localSheetId="24">#REF!</definedName>
    <definedName name="EscOtherIncome" localSheetId="26">#REF!</definedName>
    <definedName name="EscOtherIncome" localSheetId="25">#REF!</definedName>
    <definedName name="EscOtherIncome" localSheetId="8">#REF!</definedName>
    <definedName name="EscOtherIncome" localSheetId="22">'POA Data'!#REF!</definedName>
    <definedName name="EscOtherIncome">#REF!</definedName>
    <definedName name="EscOtherVarCharge" localSheetId="23">'F10_Excluding POA'!#REF!</definedName>
    <definedName name="EscOtherVarCharge" localSheetId="21">'F10_Including POA'!#REF!</definedName>
    <definedName name="EscOtherVarCharge" localSheetId="24">#REF!</definedName>
    <definedName name="EscOtherVarCharge" localSheetId="26">#REF!</definedName>
    <definedName name="EscOtherVarCharge" localSheetId="25">#REF!</definedName>
    <definedName name="EscOtherVarCharge" localSheetId="8">#REF!</definedName>
    <definedName name="EscOtherVarCharge" localSheetId="22">'POA Data'!#REF!</definedName>
    <definedName name="EscOtherVarCharge">#REF!</definedName>
    <definedName name="EscRMExp" localSheetId="23">'F10_Excluding POA'!#REF!</definedName>
    <definedName name="EscRMExp" localSheetId="21">'F10_Including POA'!#REF!</definedName>
    <definedName name="EscRMExp" localSheetId="24">#REF!</definedName>
    <definedName name="EscRMExp" localSheetId="26">#REF!</definedName>
    <definedName name="EscRMExp" localSheetId="25">#REF!</definedName>
    <definedName name="EscRMExp" localSheetId="8">#REF!</definedName>
    <definedName name="EscRMExp" localSheetId="22">'POA Data'!#REF!</definedName>
    <definedName name="EscRMExp">#REF!</definedName>
    <definedName name="FAX" localSheetId="23">'F10_Excluding POA'!#REF!</definedName>
    <definedName name="FAX" localSheetId="21">'F10_Including POA'!#REF!</definedName>
    <definedName name="FAX" localSheetId="24">#REF!</definedName>
    <definedName name="FAX" localSheetId="26">#REF!</definedName>
    <definedName name="FAX" localSheetId="25">#REF!</definedName>
    <definedName name="FAX" localSheetId="8">#REF!</definedName>
    <definedName name="FAX" localSheetId="22">'POA Data'!#REF!</definedName>
    <definedName name="FAX">#REF!</definedName>
    <definedName name="FinCharge">[7]Assumptions!$B$25</definedName>
    <definedName name="Fuel_Exp_CY" localSheetId="23">'F10_Excluding POA'!#REF!</definedName>
    <definedName name="Fuel_Exp_CY" localSheetId="21">'F10_Including POA'!#REF!</definedName>
    <definedName name="Fuel_Exp_CY" localSheetId="24">#REF!</definedName>
    <definedName name="Fuel_Exp_CY" localSheetId="26">#REF!</definedName>
    <definedName name="Fuel_Exp_CY" localSheetId="25">#REF!</definedName>
    <definedName name="Fuel_Exp_CY" localSheetId="2">#REF!</definedName>
    <definedName name="Fuel_Exp_CY" localSheetId="8">#REF!</definedName>
    <definedName name="Fuel_Exp_CY" localSheetId="16">#REF!</definedName>
    <definedName name="Fuel_Exp_CY" localSheetId="17">#REF!</definedName>
    <definedName name="Fuel_Exp_CY" localSheetId="22">'POA Data'!#REF!</definedName>
    <definedName name="Fuel_Exp_CY">#REF!</definedName>
    <definedName name="Fuel_Exp_EY" localSheetId="23">'F10_Excluding POA'!#REF!</definedName>
    <definedName name="Fuel_Exp_EY" localSheetId="21">'F10_Including POA'!#REF!</definedName>
    <definedName name="Fuel_Exp_EY" localSheetId="24">#REF!</definedName>
    <definedName name="Fuel_Exp_EY" localSheetId="26">#REF!</definedName>
    <definedName name="Fuel_Exp_EY" localSheetId="25">#REF!</definedName>
    <definedName name="Fuel_Exp_EY" localSheetId="2">#REF!</definedName>
    <definedName name="Fuel_Exp_EY" localSheetId="8">#REF!</definedName>
    <definedName name="Fuel_Exp_EY" localSheetId="16">#REF!</definedName>
    <definedName name="Fuel_Exp_EY" localSheetId="22">'POA Data'!#REF!</definedName>
    <definedName name="Fuel_Exp_EY">#REF!</definedName>
    <definedName name="Fuel_Exp_PY" localSheetId="23">'F10_Excluding POA'!#REF!</definedName>
    <definedName name="Fuel_Exp_PY" localSheetId="21">'F10_Including POA'!#REF!</definedName>
    <definedName name="Fuel_Exp_PY" localSheetId="24">#REF!</definedName>
    <definedName name="Fuel_Exp_PY" localSheetId="26">#REF!</definedName>
    <definedName name="Fuel_Exp_PY" localSheetId="25">#REF!</definedName>
    <definedName name="Fuel_Exp_PY" localSheetId="2">#REF!</definedName>
    <definedName name="Fuel_Exp_PY" localSheetId="8">#REF!</definedName>
    <definedName name="Fuel_Exp_PY" localSheetId="16">#REF!</definedName>
    <definedName name="Fuel_Exp_PY" localSheetId="22">'POA Data'!#REF!</definedName>
    <definedName name="Fuel_Exp_PY">#REF!</definedName>
    <definedName name="GR" localSheetId="23">'F10_Excluding POA'!#REF!</definedName>
    <definedName name="GR" localSheetId="21">'F10_Including POA'!#REF!</definedName>
    <definedName name="GR" localSheetId="24">#REF!</definedName>
    <definedName name="GR" localSheetId="26">#REF!</definedName>
    <definedName name="GR" localSheetId="25">#REF!</definedName>
    <definedName name="GR" localSheetId="8">#REF!</definedName>
    <definedName name="GR" localSheetId="22">'POA Data'!#REF!</definedName>
    <definedName name="GR">#REF!</definedName>
    <definedName name="IntRate_11">[7]Assumptions!$B$11</definedName>
    <definedName name="IntRate_12">[7]Assumptions!$B$12</definedName>
    <definedName name="IntRate_WC" localSheetId="17">[4]Assumptions!$B$16</definedName>
    <definedName name="IntRate_WC">[5]Assumptions!$B$16</definedName>
    <definedName name="IntRate_WC10">[7]Assumptions!$B$16</definedName>
    <definedName name="IntRate_WC11">[7]Assumptions!$B$17</definedName>
    <definedName name="IntRate_WC12">[7]Assumptions!$B$18</definedName>
    <definedName name="IntRate12" localSheetId="23">'F10_Excluding POA'!#REF!</definedName>
    <definedName name="IntRate12" localSheetId="21">'F10_Including POA'!#REF!</definedName>
    <definedName name="IntRate12" localSheetId="24">#REF!</definedName>
    <definedName name="IntRate12" localSheetId="26">#REF!</definedName>
    <definedName name="IntRate12" localSheetId="25">#REF!</definedName>
    <definedName name="IntRate12" localSheetId="8">#REF!</definedName>
    <definedName name="IntRate12" localSheetId="17">#REF!</definedName>
    <definedName name="IntRate12" localSheetId="22">'POA Data'!#REF!</definedName>
    <definedName name="IntRate12">#REF!</definedName>
    <definedName name="IntRate13" localSheetId="23">'F10_Excluding POA'!#REF!</definedName>
    <definedName name="IntRate13" localSheetId="21">'F10_Including POA'!#REF!</definedName>
    <definedName name="IntRate13" localSheetId="24">#REF!</definedName>
    <definedName name="IntRate13" localSheetId="26">#REF!</definedName>
    <definedName name="IntRate13" localSheetId="25">#REF!</definedName>
    <definedName name="IntRate13" localSheetId="8">#REF!</definedName>
    <definedName name="IntRate13" localSheetId="22">'POA Data'!#REF!</definedName>
    <definedName name="IntRate13">#REF!</definedName>
    <definedName name="IntRateWC11" localSheetId="23">'F10_Excluding POA'!#REF!</definedName>
    <definedName name="IntRateWC11" localSheetId="21">'F10_Including POA'!#REF!</definedName>
    <definedName name="IntRateWC11" localSheetId="24">#REF!</definedName>
    <definedName name="IntRateWC11" localSheetId="26">#REF!</definedName>
    <definedName name="IntRateWC11" localSheetId="25">#REF!</definedName>
    <definedName name="IntRateWC11" localSheetId="8">#REF!</definedName>
    <definedName name="IntRateWC11" localSheetId="22">'POA Data'!#REF!</definedName>
    <definedName name="IntRateWC11">#REF!</definedName>
    <definedName name="IntRateWC12" localSheetId="23">'F10_Excluding POA'!#REF!</definedName>
    <definedName name="IntRateWC12" localSheetId="21">'F10_Including POA'!#REF!</definedName>
    <definedName name="IntRateWC12" localSheetId="24">#REF!</definedName>
    <definedName name="IntRateWC12" localSheetId="26">#REF!</definedName>
    <definedName name="IntRateWC12" localSheetId="25">#REF!</definedName>
    <definedName name="IntRateWC12" localSheetId="8">#REF!</definedName>
    <definedName name="IntRateWC12" localSheetId="22">'POA Data'!#REF!</definedName>
    <definedName name="IntRateWC12">#REF!</definedName>
    <definedName name="IntRateWC13" localSheetId="23">'F10_Excluding POA'!#REF!</definedName>
    <definedName name="IntRateWC13" localSheetId="21">'F10_Including POA'!#REF!</definedName>
    <definedName name="IntRateWC13" localSheetId="24">#REF!</definedName>
    <definedName name="IntRateWC13" localSheetId="26">#REF!</definedName>
    <definedName name="IntRateWC13" localSheetId="25">#REF!</definedName>
    <definedName name="IntRateWC13" localSheetId="8">#REF!</definedName>
    <definedName name="IntRateWC13" localSheetId="22">'POA Data'!#REF!</definedName>
    <definedName name="IntRateWC13">#REF!</definedName>
    <definedName name="Intt_Charge_cY" localSheetId="23">'F10_Excluding POA'!#REF!,'F10_Excluding POA'!#REF!</definedName>
    <definedName name="Intt_Charge_cY" localSheetId="21">'F10_Including POA'!#REF!,'F10_Including POA'!#REF!</definedName>
    <definedName name="Intt_Charge_cY" localSheetId="24">#REF!,#REF!</definedName>
    <definedName name="Intt_Charge_cY" localSheetId="26">#REF!,#REF!</definedName>
    <definedName name="Intt_Charge_cY" localSheetId="25">#REF!,#REF!</definedName>
    <definedName name="Intt_Charge_cY" localSheetId="2">#REF!,#REF!</definedName>
    <definedName name="Intt_Charge_cY" localSheetId="8">#REF!,#REF!</definedName>
    <definedName name="Intt_Charge_cY" localSheetId="16">#REF!,#REF!</definedName>
    <definedName name="Intt_Charge_cY" localSheetId="17">#REF!,#REF!</definedName>
    <definedName name="Intt_Charge_cY" localSheetId="22">'POA Data'!#REF!,'POA Data'!#REF!</definedName>
    <definedName name="Intt_Charge_cY">#REF!,#REF!</definedName>
    <definedName name="Intt_Charge_cy_1" localSheetId="17">'[11]A 3.7'!$H$35,'[11]A 3.7'!$H$44</definedName>
    <definedName name="Intt_Charge_cy_1">'[12]A 3.7'!$H$35,'[12]A 3.7'!$H$44</definedName>
    <definedName name="Intt_Charge_eY" localSheetId="23">'F10_Excluding POA'!#REF!,'F10_Excluding POA'!#REF!</definedName>
    <definedName name="Intt_Charge_eY" localSheetId="21">'F10_Including POA'!#REF!,'F10_Including POA'!#REF!</definedName>
    <definedName name="Intt_Charge_eY" localSheetId="24">#REF!,#REF!</definedName>
    <definedName name="Intt_Charge_eY" localSheetId="26">#REF!,#REF!</definedName>
    <definedName name="Intt_Charge_eY" localSheetId="25">#REF!,#REF!</definedName>
    <definedName name="Intt_Charge_eY" localSheetId="2">#REF!,#REF!</definedName>
    <definedName name="Intt_Charge_eY" localSheetId="8">#REF!,#REF!</definedName>
    <definedName name="Intt_Charge_eY" localSheetId="16">#REF!,#REF!</definedName>
    <definedName name="Intt_Charge_eY" localSheetId="22">'POA Data'!#REF!,'POA Data'!#REF!</definedName>
    <definedName name="Intt_Charge_eY">#REF!,#REF!</definedName>
    <definedName name="Intt_Charge_ey_1" localSheetId="17">'[11]A 3.7'!$I$35,'[11]A 3.7'!$I$44</definedName>
    <definedName name="Intt_Charge_ey_1">'[12]A 3.7'!$I$35,'[12]A 3.7'!$I$44</definedName>
    <definedName name="Intt_Charge_PY" localSheetId="23">'F10_Excluding POA'!#REF!,'F10_Excluding POA'!#REF!</definedName>
    <definedName name="Intt_Charge_PY" localSheetId="21">'F10_Including POA'!#REF!,'F10_Including POA'!#REF!</definedName>
    <definedName name="Intt_Charge_PY" localSheetId="24">#REF!,#REF!</definedName>
    <definedName name="Intt_Charge_PY" localSheetId="26">#REF!,#REF!</definedName>
    <definedName name="Intt_Charge_PY" localSheetId="25">#REF!,#REF!</definedName>
    <definedName name="Intt_Charge_PY" localSheetId="2">#REF!,#REF!</definedName>
    <definedName name="Intt_Charge_PY" localSheetId="8">#REF!,#REF!</definedName>
    <definedName name="Intt_Charge_PY" localSheetId="16">#REF!,#REF!</definedName>
    <definedName name="Intt_Charge_PY" localSheetId="22">'POA Data'!#REF!,'POA Data'!#REF!</definedName>
    <definedName name="Intt_Charge_PY">#REF!,#REF!</definedName>
    <definedName name="Intt_Charge_py_1" localSheetId="17">'[11]A 3.7'!$G$35,'[11]A 3.7'!$G$44</definedName>
    <definedName name="Intt_Charge_py_1">'[12]A 3.7'!$G$35,'[12]A 3.7'!$G$44</definedName>
    <definedName name="IsCircular" localSheetId="23">'F10_Excluding POA'!#REF!</definedName>
    <definedName name="IsCircular" localSheetId="21">'F10_Including POA'!#REF!</definedName>
    <definedName name="IsCircular" localSheetId="24">#REF!</definedName>
    <definedName name="IsCircular" localSheetId="26">#REF!</definedName>
    <definedName name="IsCircular" localSheetId="25">#REF!</definedName>
    <definedName name="IsCircular" localSheetId="8">#REF!</definedName>
    <definedName name="IsCircular" localSheetId="17">#REF!</definedName>
    <definedName name="IsCircular" localSheetId="22">'POA Data'!#REF!</definedName>
    <definedName name="IsCircular">#REF!</definedName>
    <definedName name="K2000_">#N/A</definedName>
    <definedName name="LTR_M_NEW" localSheetId="23">'F10_Excluding POA'!#REF!</definedName>
    <definedName name="LTR_M_NEW" localSheetId="21">'F10_Including POA'!#REF!</definedName>
    <definedName name="LTR_M_NEW" localSheetId="24">#REF!</definedName>
    <definedName name="LTR_M_NEW" localSheetId="26">#REF!</definedName>
    <definedName name="LTR_M_NEW" localSheetId="25">#REF!</definedName>
    <definedName name="LTR_M_NEW" localSheetId="8">#REF!</definedName>
    <definedName name="LTR_M_NEW" localSheetId="17">#REF!</definedName>
    <definedName name="LTR_M_NEW" localSheetId="22">'POA Data'!#REF!</definedName>
    <definedName name="LTR_M_NEW">#REF!</definedName>
    <definedName name="LTR_MOR" localSheetId="23">'F10_Excluding POA'!#REF!</definedName>
    <definedName name="LTR_MOR" localSheetId="21">'F10_Including POA'!#REF!</definedName>
    <definedName name="LTR_MOR" localSheetId="24">#REF!</definedName>
    <definedName name="LTR_MOR" localSheetId="26">#REF!</definedName>
    <definedName name="LTR_MOR" localSheetId="25">#REF!</definedName>
    <definedName name="LTR_MOR" localSheetId="8">#REF!</definedName>
    <definedName name="LTR_MOR" localSheetId="22">'POA Data'!#REF!</definedName>
    <definedName name="LTR_MOR">#REF!</definedName>
    <definedName name="new" localSheetId="23" hidden="1">[13]CE!#REF!</definedName>
    <definedName name="new" localSheetId="21" hidden="1">[13]CE!#REF!</definedName>
    <definedName name="new" localSheetId="24" hidden="1">[13]CE!#REF!</definedName>
    <definedName name="new" localSheetId="26" hidden="1">[13]CE!#REF!</definedName>
    <definedName name="new" localSheetId="25" hidden="1">[13]CE!#REF!</definedName>
    <definedName name="new" localSheetId="8" hidden="1">[13]CE!#REF!</definedName>
    <definedName name="new" localSheetId="17" hidden="1">[13]CE!#REF!</definedName>
    <definedName name="new" hidden="1">[13]CE!#REF!</definedName>
    <definedName name="O" localSheetId="23">'F10_Excluding POA'!#REF!</definedName>
    <definedName name="O" localSheetId="21">'F10_Including POA'!#REF!</definedName>
    <definedName name="O" localSheetId="24">#REF!</definedName>
    <definedName name="O" localSheetId="26">#REF!</definedName>
    <definedName name="O" localSheetId="25">#REF!</definedName>
    <definedName name="O" localSheetId="8">#REF!</definedName>
    <definedName name="O" localSheetId="17">#REF!</definedName>
    <definedName name="O" localSheetId="22">'POA Data'!#REF!</definedName>
    <definedName name="O">#REF!</definedName>
    <definedName name="p" localSheetId="23">'F10_Excluding POA'!#REF!</definedName>
    <definedName name="p" localSheetId="21">'F10_Including POA'!#REF!</definedName>
    <definedName name="p" localSheetId="24">#REF!</definedName>
    <definedName name="p" localSheetId="26">#REF!</definedName>
    <definedName name="p" localSheetId="25">#REF!</definedName>
    <definedName name="p" localSheetId="8">#REF!</definedName>
    <definedName name="p" localSheetId="22">'POA Data'!#REF!</definedName>
    <definedName name="p">#REF!</definedName>
    <definedName name="PAGE1" localSheetId="23">'F10_Excluding POA'!#REF!</definedName>
    <definedName name="PAGE1" localSheetId="21">'F10_Including POA'!#REF!</definedName>
    <definedName name="PAGE1" localSheetId="24">#REF!</definedName>
    <definedName name="PAGE1" localSheetId="26">#REF!</definedName>
    <definedName name="PAGE1" localSheetId="25">#REF!</definedName>
    <definedName name="PAGE1" localSheetId="8">#REF!</definedName>
    <definedName name="PAGE1" localSheetId="22">'POA Data'!#REF!</definedName>
    <definedName name="PAGE1">#REF!</definedName>
    <definedName name="page10" localSheetId="23">'F10_Excluding POA'!#REF!</definedName>
    <definedName name="page10" localSheetId="21">'F10_Including POA'!#REF!</definedName>
    <definedName name="page10" localSheetId="24">#REF!</definedName>
    <definedName name="page10" localSheetId="26">#REF!</definedName>
    <definedName name="page10" localSheetId="25">#REF!</definedName>
    <definedName name="page10" localSheetId="8">#REF!</definedName>
    <definedName name="page10" localSheetId="22">'POA Data'!#REF!</definedName>
    <definedName name="page10">#REF!</definedName>
    <definedName name="PAGE10_6" localSheetId="23">'F10_Excluding POA'!#REF!</definedName>
    <definedName name="PAGE10_6" localSheetId="21">'F10_Including POA'!#REF!</definedName>
    <definedName name="PAGE10_6" localSheetId="24">#REF!</definedName>
    <definedName name="PAGE10_6" localSheetId="26">#REF!</definedName>
    <definedName name="PAGE10_6" localSheetId="25">#REF!</definedName>
    <definedName name="PAGE10_6" localSheetId="8">#REF!</definedName>
    <definedName name="PAGE10_6" localSheetId="22">'POA Data'!#REF!</definedName>
    <definedName name="PAGE10_6">#REF!</definedName>
    <definedName name="PAGE11_6" localSheetId="23">'F10_Excluding POA'!#REF!</definedName>
    <definedName name="PAGE11_6" localSheetId="21">'F10_Including POA'!#REF!</definedName>
    <definedName name="PAGE11_6" localSheetId="24">#REF!</definedName>
    <definedName name="PAGE11_6" localSheetId="26">#REF!</definedName>
    <definedName name="PAGE11_6" localSheetId="25">#REF!</definedName>
    <definedName name="PAGE11_6" localSheetId="8">#REF!</definedName>
    <definedName name="PAGE11_6" localSheetId="22">'POA Data'!#REF!</definedName>
    <definedName name="PAGE11_6">#REF!</definedName>
    <definedName name="PAGE12_6" localSheetId="23">'F10_Excluding POA'!#REF!</definedName>
    <definedName name="PAGE12_6" localSheetId="21">'F10_Including POA'!#REF!</definedName>
    <definedName name="PAGE12_6" localSheetId="24">#REF!</definedName>
    <definedName name="PAGE12_6" localSheetId="26">#REF!</definedName>
    <definedName name="PAGE12_6" localSheetId="25">#REF!</definedName>
    <definedName name="PAGE12_6" localSheetId="8">#REF!</definedName>
    <definedName name="PAGE12_6" localSheetId="22">'POA Data'!#REF!</definedName>
    <definedName name="PAGE12_6">#REF!</definedName>
    <definedName name="PAGE14" localSheetId="23">'F10_Excluding POA'!#REF!</definedName>
    <definedName name="PAGE14" localSheetId="21">'F10_Including POA'!#REF!</definedName>
    <definedName name="PAGE14" localSheetId="24">#REF!</definedName>
    <definedName name="PAGE14" localSheetId="26">#REF!</definedName>
    <definedName name="PAGE14" localSheetId="25">#REF!</definedName>
    <definedName name="PAGE14" localSheetId="8">#REF!</definedName>
    <definedName name="PAGE14" localSheetId="22">'POA Data'!#REF!</definedName>
    <definedName name="PAGE14">#REF!</definedName>
    <definedName name="PAGE15" localSheetId="23">'F10_Excluding POA'!#REF!</definedName>
    <definedName name="PAGE15" localSheetId="21">'F10_Including POA'!#REF!</definedName>
    <definedName name="PAGE15" localSheetId="24">#REF!</definedName>
    <definedName name="PAGE15" localSheetId="26">#REF!</definedName>
    <definedName name="PAGE15" localSheetId="25">#REF!</definedName>
    <definedName name="PAGE15" localSheetId="8">#REF!</definedName>
    <definedName name="PAGE15" localSheetId="22">'POA Data'!#REF!</definedName>
    <definedName name="PAGE15">#REF!</definedName>
    <definedName name="PAGE16" localSheetId="23">'F10_Excluding POA'!#REF!</definedName>
    <definedName name="PAGE16" localSheetId="21">'F10_Including POA'!#REF!</definedName>
    <definedName name="PAGE16" localSheetId="24">#REF!</definedName>
    <definedName name="PAGE16" localSheetId="26">#REF!</definedName>
    <definedName name="PAGE16" localSheetId="25">#REF!</definedName>
    <definedName name="PAGE16" localSheetId="8">#REF!</definedName>
    <definedName name="PAGE16" localSheetId="22">'POA Data'!#REF!</definedName>
    <definedName name="PAGE16">#REF!</definedName>
    <definedName name="PAGE17" localSheetId="23">'F10_Excluding POA'!#REF!</definedName>
    <definedName name="PAGE17" localSheetId="21">'F10_Including POA'!#REF!</definedName>
    <definedName name="PAGE17" localSheetId="24">#REF!</definedName>
    <definedName name="PAGE17" localSheetId="26">#REF!</definedName>
    <definedName name="PAGE17" localSheetId="25">#REF!</definedName>
    <definedName name="PAGE17" localSheetId="8">#REF!</definedName>
    <definedName name="PAGE17" localSheetId="22">'POA Data'!#REF!</definedName>
    <definedName name="PAGE17">#REF!</definedName>
    <definedName name="PAGE18" localSheetId="23">'F10_Excluding POA'!#REF!</definedName>
    <definedName name="PAGE18" localSheetId="21">'F10_Including POA'!#REF!</definedName>
    <definedName name="PAGE18" localSheetId="24">#REF!</definedName>
    <definedName name="PAGE18" localSheetId="26">#REF!</definedName>
    <definedName name="PAGE18" localSheetId="25">#REF!</definedName>
    <definedName name="PAGE18" localSheetId="8">#REF!</definedName>
    <definedName name="PAGE18" localSheetId="22">'POA Data'!#REF!</definedName>
    <definedName name="PAGE18">#REF!</definedName>
    <definedName name="PAGE19" localSheetId="23">'F10_Excluding POA'!#REF!</definedName>
    <definedName name="PAGE19" localSheetId="21">'F10_Including POA'!#REF!</definedName>
    <definedName name="PAGE19" localSheetId="24">#REF!</definedName>
    <definedName name="PAGE19" localSheetId="26">#REF!</definedName>
    <definedName name="PAGE19" localSheetId="25">#REF!</definedName>
    <definedName name="PAGE19" localSheetId="8">#REF!</definedName>
    <definedName name="PAGE19" localSheetId="22">'POA Data'!#REF!</definedName>
    <definedName name="PAGE19">#REF!</definedName>
    <definedName name="PAGE2" localSheetId="23">'F10_Excluding POA'!#REF!</definedName>
    <definedName name="PAGE2" localSheetId="21">'F10_Including POA'!#REF!</definedName>
    <definedName name="PAGE2" localSheetId="24">#REF!</definedName>
    <definedName name="PAGE2" localSheetId="26">#REF!</definedName>
    <definedName name="PAGE2" localSheetId="25">#REF!</definedName>
    <definedName name="PAGE2" localSheetId="8">#REF!</definedName>
    <definedName name="PAGE2" localSheetId="22">'POA Data'!#REF!</definedName>
    <definedName name="PAGE2">#REF!</definedName>
    <definedName name="PAGE2_6" localSheetId="23">'F10_Excluding POA'!#REF!</definedName>
    <definedName name="PAGE2_6" localSheetId="21">'F10_Including POA'!#REF!</definedName>
    <definedName name="PAGE2_6" localSheetId="24">#REF!</definedName>
    <definedName name="PAGE2_6" localSheetId="26">#REF!</definedName>
    <definedName name="PAGE2_6" localSheetId="25">#REF!</definedName>
    <definedName name="PAGE2_6" localSheetId="8">#REF!</definedName>
    <definedName name="PAGE2_6" localSheetId="22">'POA Data'!#REF!</definedName>
    <definedName name="PAGE2_6">#REF!</definedName>
    <definedName name="PAGE20" localSheetId="23">'F10_Excluding POA'!#REF!</definedName>
    <definedName name="PAGE20" localSheetId="21">'F10_Including POA'!#REF!</definedName>
    <definedName name="PAGE20" localSheetId="24">#REF!</definedName>
    <definedName name="PAGE20" localSheetId="26">#REF!</definedName>
    <definedName name="PAGE20" localSheetId="25">#REF!</definedName>
    <definedName name="PAGE20" localSheetId="8">#REF!</definedName>
    <definedName name="PAGE20" localSheetId="22">'POA Data'!#REF!</definedName>
    <definedName name="PAGE20">#REF!</definedName>
    <definedName name="PAGE21" localSheetId="23">'F10_Excluding POA'!#REF!</definedName>
    <definedName name="PAGE21" localSheetId="21">'F10_Including POA'!#REF!</definedName>
    <definedName name="PAGE21" localSheetId="24">#REF!</definedName>
    <definedName name="PAGE21" localSheetId="26">#REF!</definedName>
    <definedName name="PAGE21" localSheetId="25">#REF!</definedName>
    <definedName name="PAGE21" localSheetId="8">#REF!</definedName>
    <definedName name="PAGE21" localSheetId="22">'POA Data'!#REF!</definedName>
    <definedName name="PAGE21">#REF!</definedName>
    <definedName name="PAGE210" localSheetId="23">'F10_Excluding POA'!#REF!</definedName>
    <definedName name="PAGE210" localSheetId="21">'F10_Including POA'!#REF!</definedName>
    <definedName name="PAGE210" localSheetId="24">#REF!</definedName>
    <definedName name="PAGE210" localSheetId="26">#REF!</definedName>
    <definedName name="PAGE210" localSheetId="25">#REF!</definedName>
    <definedName name="PAGE210" localSheetId="8">#REF!</definedName>
    <definedName name="PAGE210" localSheetId="22">'POA Data'!#REF!</definedName>
    <definedName name="PAGE210">#REF!</definedName>
    <definedName name="PAGE22" localSheetId="23">'F10_Excluding POA'!#REF!</definedName>
    <definedName name="PAGE22" localSheetId="21">'F10_Including POA'!#REF!</definedName>
    <definedName name="PAGE22" localSheetId="24">#REF!</definedName>
    <definedName name="PAGE22" localSheetId="26">#REF!</definedName>
    <definedName name="PAGE22" localSheetId="25">#REF!</definedName>
    <definedName name="PAGE22" localSheetId="8">#REF!</definedName>
    <definedName name="PAGE22" localSheetId="22">'POA Data'!#REF!</definedName>
    <definedName name="PAGE22">#REF!</definedName>
    <definedName name="PAGE23" localSheetId="23">'F10_Excluding POA'!#REF!</definedName>
    <definedName name="PAGE23" localSheetId="21">'F10_Including POA'!#REF!</definedName>
    <definedName name="PAGE23" localSheetId="24">#REF!</definedName>
    <definedName name="PAGE23" localSheetId="26">#REF!</definedName>
    <definedName name="PAGE23" localSheetId="25">#REF!</definedName>
    <definedName name="PAGE23" localSheetId="8">#REF!</definedName>
    <definedName name="PAGE23" localSheetId="22">'POA Data'!#REF!</definedName>
    <definedName name="PAGE23">#REF!</definedName>
    <definedName name="PAGE24" localSheetId="23">'F10_Excluding POA'!#REF!</definedName>
    <definedName name="PAGE24" localSheetId="21">'F10_Including POA'!#REF!</definedName>
    <definedName name="PAGE24" localSheetId="24">#REF!</definedName>
    <definedName name="PAGE24" localSheetId="26">#REF!</definedName>
    <definedName name="PAGE24" localSheetId="25">#REF!</definedName>
    <definedName name="PAGE24" localSheetId="8">#REF!</definedName>
    <definedName name="PAGE24" localSheetId="22">'POA Data'!#REF!</definedName>
    <definedName name="PAGE24">#REF!</definedName>
    <definedName name="PAGE25" localSheetId="23">'F10_Excluding POA'!#REF!</definedName>
    <definedName name="PAGE25" localSheetId="21">'F10_Including POA'!#REF!</definedName>
    <definedName name="PAGE25" localSheetId="24">#REF!</definedName>
    <definedName name="PAGE25" localSheetId="26">#REF!</definedName>
    <definedName name="PAGE25" localSheetId="25">#REF!</definedName>
    <definedName name="PAGE25" localSheetId="8">#REF!</definedName>
    <definedName name="PAGE25" localSheetId="22">'POA Data'!#REF!</definedName>
    <definedName name="PAGE25">#REF!</definedName>
    <definedName name="PAGE26" localSheetId="23">'F10_Excluding POA'!#REF!</definedName>
    <definedName name="PAGE26" localSheetId="21">'F10_Including POA'!#REF!</definedName>
    <definedName name="PAGE26" localSheetId="24">#REF!</definedName>
    <definedName name="PAGE26" localSheetId="26">#REF!</definedName>
    <definedName name="PAGE26" localSheetId="25">#REF!</definedName>
    <definedName name="PAGE26" localSheetId="8">#REF!</definedName>
    <definedName name="PAGE26" localSheetId="22">'POA Data'!#REF!</definedName>
    <definedName name="PAGE26">#REF!</definedName>
    <definedName name="PAGE27" localSheetId="23">'F10_Excluding POA'!#REF!</definedName>
    <definedName name="PAGE27" localSheetId="21">'F10_Including POA'!#REF!</definedName>
    <definedName name="PAGE27" localSheetId="24">#REF!</definedName>
    <definedName name="PAGE27" localSheetId="26">#REF!</definedName>
    <definedName name="PAGE27" localSheetId="25">#REF!</definedName>
    <definedName name="PAGE27" localSheetId="8">#REF!</definedName>
    <definedName name="PAGE27" localSheetId="22">'POA Data'!#REF!</definedName>
    <definedName name="PAGE27">#REF!</definedName>
    <definedName name="PAGE28" localSheetId="23">'F10_Excluding POA'!#REF!</definedName>
    <definedName name="PAGE28" localSheetId="21">'F10_Including POA'!#REF!</definedName>
    <definedName name="PAGE28" localSheetId="24">#REF!</definedName>
    <definedName name="PAGE28" localSheetId="26">#REF!</definedName>
    <definedName name="PAGE28" localSheetId="25">#REF!</definedName>
    <definedName name="PAGE28" localSheetId="8">#REF!</definedName>
    <definedName name="PAGE28" localSheetId="22">'POA Data'!#REF!</definedName>
    <definedName name="PAGE28">#REF!</definedName>
    <definedName name="PAGE29" localSheetId="23">'F10_Excluding POA'!#REF!</definedName>
    <definedName name="PAGE29" localSheetId="21">'F10_Including POA'!#REF!</definedName>
    <definedName name="PAGE29" localSheetId="24">#REF!</definedName>
    <definedName name="PAGE29" localSheetId="26">#REF!</definedName>
    <definedName name="PAGE29" localSheetId="25">#REF!</definedName>
    <definedName name="PAGE29" localSheetId="8">#REF!</definedName>
    <definedName name="PAGE29" localSheetId="22">'POA Data'!#REF!</definedName>
    <definedName name="PAGE29">#REF!</definedName>
    <definedName name="PAGE3_6" localSheetId="23">'F10_Excluding POA'!#REF!</definedName>
    <definedName name="PAGE3_6" localSheetId="21">'F10_Including POA'!#REF!</definedName>
    <definedName name="PAGE3_6" localSheetId="24">#REF!</definedName>
    <definedName name="PAGE3_6" localSheetId="26">#REF!</definedName>
    <definedName name="PAGE3_6" localSheetId="25">#REF!</definedName>
    <definedName name="PAGE3_6" localSheetId="8">#REF!</definedName>
    <definedName name="PAGE3_6" localSheetId="22">'POA Data'!#REF!</definedName>
    <definedName name="PAGE3_6">#REF!</definedName>
    <definedName name="page34" localSheetId="23">'F10_Excluding POA'!#REF!</definedName>
    <definedName name="page34" localSheetId="21">'F10_Including POA'!#REF!</definedName>
    <definedName name="page34" localSheetId="24">#REF!</definedName>
    <definedName name="page34" localSheetId="26">#REF!</definedName>
    <definedName name="page34" localSheetId="25">#REF!</definedName>
    <definedName name="page34" localSheetId="8">#REF!</definedName>
    <definedName name="page34" localSheetId="22">'POA Data'!#REF!</definedName>
    <definedName name="page34">#REF!</definedName>
    <definedName name="Page35" localSheetId="23">'F10_Excluding POA'!#REF!</definedName>
    <definedName name="Page35" localSheetId="21">'F10_Including POA'!#REF!</definedName>
    <definedName name="Page35" localSheetId="24">#REF!</definedName>
    <definedName name="Page35" localSheetId="26">#REF!</definedName>
    <definedName name="Page35" localSheetId="25">#REF!</definedName>
    <definedName name="Page35" localSheetId="8">#REF!</definedName>
    <definedName name="Page35" localSheetId="22">'POA Data'!#REF!</definedName>
    <definedName name="Page35">#REF!</definedName>
    <definedName name="PAGE4_6" localSheetId="23">'F10_Excluding POA'!#REF!</definedName>
    <definedName name="PAGE4_6" localSheetId="21">'F10_Including POA'!#REF!</definedName>
    <definedName name="PAGE4_6" localSheetId="24">#REF!</definedName>
    <definedName name="PAGE4_6" localSheetId="26">#REF!</definedName>
    <definedName name="PAGE4_6" localSheetId="25">#REF!</definedName>
    <definedName name="PAGE4_6" localSheetId="8">#REF!</definedName>
    <definedName name="PAGE4_6" localSheetId="22">'POA Data'!#REF!</definedName>
    <definedName name="PAGE4_6">#REF!</definedName>
    <definedName name="PAGE5_6" localSheetId="23">'F10_Excluding POA'!#REF!</definedName>
    <definedName name="PAGE5_6" localSheetId="21">'F10_Including POA'!#REF!</definedName>
    <definedName name="PAGE5_6" localSheetId="24">#REF!</definedName>
    <definedName name="PAGE5_6" localSheetId="26">#REF!</definedName>
    <definedName name="PAGE5_6" localSheetId="25">#REF!</definedName>
    <definedName name="PAGE5_6" localSheetId="8">#REF!</definedName>
    <definedName name="PAGE5_6" localSheetId="22">'POA Data'!#REF!</definedName>
    <definedName name="PAGE5_6">#REF!</definedName>
    <definedName name="page50" localSheetId="23">'F10_Excluding POA'!#REF!</definedName>
    <definedName name="page50" localSheetId="21">'F10_Including POA'!#REF!</definedName>
    <definedName name="page50" localSheetId="24">#REF!</definedName>
    <definedName name="page50" localSheetId="26">#REF!</definedName>
    <definedName name="page50" localSheetId="25">#REF!</definedName>
    <definedName name="page50" localSheetId="8">#REF!</definedName>
    <definedName name="page50" localSheetId="22">'POA Data'!#REF!</definedName>
    <definedName name="page50">#REF!</definedName>
    <definedName name="page51" localSheetId="23">'F10_Excluding POA'!#REF!</definedName>
    <definedName name="page51" localSheetId="21">'F10_Including POA'!#REF!</definedName>
    <definedName name="page51" localSheetId="24">#REF!</definedName>
    <definedName name="page51" localSheetId="26">#REF!</definedName>
    <definedName name="page51" localSheetId="25">#REF!</definedName>
    <definedName name="page51" localSheetId="8">#REF!</definedName>
    <definedName name="page51" localSheetId="22">'POA Data'!#REF!</definedName>
    <definedName name="page51">#REF!</definedName>
    <definedName name="page52" localSheetId="23">'F10_Excluding POA'!#REF!</definedName>
    <definedName name="page52" localSheetId="21">'F10_Including POA'!#REF!</definedName>
    <definedName name="page52" localSheetId="24">#REF!</definedName>
    <definedName name="page52" localSheetId="26">#REF!</definedName>
    <definedName name="page52" localSheetId="25">#REF!</definedName>
    <definedName name="page52" localSheetId="8">#REF!</definedName>
    <definedName name="page52" localSheetId="22">'POA Data'!#REF!</definedName>
    <definedName name="page52">#REF!</definedName>
    <definedName name="PAGE6" localSheetId="23">'F10_Excluding POA'!#REF!</definedName>
    <definedName name="PAGE6" localSheetId="21">'F10_Including POA'!#REF!</definedName>
    <definedName name="PAGE6" localSheetId="24">#REF!</definedName>
    <definedName name="PAGE6" localSheetId="26">#REF!</definedName>
    <definedName name="PAGE6" localSheetId="25">#REF!</definedName>
    <definedName name="PAGE6" localSheetId="8">#REF!</definedName>
    <definedName name="PAGE6" localSheetId="22">'POA Data'!#REF!</definedName>
    <definedName name="PAGE6">#REF!</definedName>
    <definedName name="PAGE6_6" localSheetId="23">'F10_Excluding POA'!#REF!</definedName>
    <definedName name="PAGE6_6" localSheetId="21">'F10_Including POA'!#REF!</definedName>
    <definedName name="PAGE6_6" localSheetId="24">#REF!</definedName>
    <definedName name="PAGE6_6" localSheetId="26">#REF!</definedName>
    <definedName name="PAGE6_6" localSheetId="25">#REF!</definedName>
    <definedName name="PAGE6_6" localSheetId="8">#REF!</definedName>
    <definedName name="PAGE6_6" localSheetId="22">'POA Data'!#REF!</definedName>
    <definedName name="PAGE6_6">#REF!</definedName>
    <definedName name="PAGE7" localSheetId="23">'F10_Excluding POA'!#REF!</definedName>
    <definedName name="PAGE7" localSheetId="21">'F10_Including POA'!#REF!</definedName>
    <definedName name="PAGE7" localSheetId="24">#REF!</definedName>
    <definedName name="PAGE7" localSheetId="26">#REF!</definedName>
    <definedName name="PAGE7" localSheetId="25">#REF!</definedName>
    <definedName name="PAGE7" localSheetId="8">#REF!</definedName>
    <definedName name="PAGE7" localSheetId="22">'POA Data'!#REF!</definedName>
    <definedName name="PAGE7">#REF!</definedName>
    <definedName name="PAGE7_6" localSheetId="23">'F10_Excluding POA'!#REF!</definedName>
    <definedName name="PAGE7_6" localSheetId="21">'F10_Including POA'!#REF!</definedName>
    <definedName name="PAGE7_6" localSheetId="24">#REF!</definedName>
    <definedName name="PAGE7_6" localSheetId="26">#REF!</definedName>
    <definedName name="PAGE7_6" localSheetId="25">#REF!</definedName>
    <definedName name="PAGE7_6" localSheetId="8">#REF!</definedName>
    <definedName name="PAGE7_6" localSheetId="22">'POA Data'!#REF!</definedName>
    <definedName name="PAGE7_6">#REF!</definedName>
    <definedName name="PAGE8" localSheetId="23">'F10_Excluding POA'!#REF!</definedName>
    <definedName name="PAGE8" localSheetId="21">'F10_Including POA'!#REF!</definedName>
    <definedName name="PAGE8" localSheetId="24">#REF!</definedName>
    <definedName name="PAGE8" localSheetId="26">#REF!</definedName>
    <definedName name="PAGE8" localSheetId="25">#REF!</definedName>
    <definedName name="PAGE8" localSheetId="8">#REF!</definedName>
    <definedName name="PAGE8" localSheetId="22">'POA Data'!#REF!</definedName>
    <definedName name="PAGE8">#REF!</definedName>
    <definedName name="PAGE8_6U1A" localSheetId="23">'F10_Excluding POA'!#REF!</definedName>
    <definedName name="PAGE8_6U1A" localSheetId="21">'F10_Including POA'!#REF!</definedName>
    <definedName name="PAGE8_6U1A" localSheetId="24">#REF!</definedName>
    <definedName name="PAGE8_6U1A" localSheetId="26">#REF!</definedName>
    <definedName name="PAGE8_6U1A" localSheetId="25">#REF!</definedName>
    <definedName name="PAGE8_6U1A" localSheetId="8">#REF!</definedName>
    <definedName name="PAGE8_6U1A" localSheetId="22">'POA Data'!#REF!</definedName>
    <definedName name="PAGE8_6U1A">#REF!</definedName>
    <definedName name="PAGE8_6U1B" localSheetId="23">'F10_Excluding POA'!#REF!</definedName>
    <definedName name="PAGE8_6U1B" localSheetId="21">'F10_Including POA'!#REF!</definedName>
    <definedName name="PAGE8_6U1B" localSheetId="24">#REF!</definedName>
    <definedName name="PAGE8_6U1B" localSheetId="26">#REF!</definedName>
    <definedName name="PAGE8_6U1B" localSheetId="25">#REF!</definedName>
    <definedName name="PAGE8_6U1B" localSheetId="8">#REF!</definedName>
    <definedName name="PAGE8_6U1B" localSheetId="22">'POA Data'!#REF!</definedName>
    <definedName name="PAGE8_6U1B">#REF!</definedName>
    <definedName name="PAGE8_6U2A" localSheetId="23">'F10_Excluding POA'!#REF!</definedName>
    <definedName name="PAGE8_6U2A" localSheetId="21">'F10_Including POA'!#REF!</definedName>
    <definedName name="PAGE8_6U2A" localSheetId="24">#REF!</definedName>
    <definedName name="PAGE8_6U2A" localSheetId="26">#REF!</definedName>
    <definedName name="PAGE8_6U2A" localSheetId="25">#REF!</definedName>
    <definedName name="PAGE8_6U2A" localSheetId="8">#REF!</definedName>
    <definedName name="PAGE8_6U2A" localSheetId="22">'POA Data'!#REF!</definedName>
    <definedName name="PAGE8_6U2A">#REF!</definedName>
    <definedName name="PAGE8_6U2B" localSheetId="23">'F10_Excluding POA'!#REF!</definedName>
    <definedName name="PAGE8_6U2B" localSheetId="21">'F10_Including POA'!#REF!</definedName>
    <definedName name="PAGE8_6U2B" localSheetId="24">#REF!</definedName>
    <definedName name="PAGE8_6U2B" localSheetId="26">#REF!</definedName>
    <definedName name="PAGE8_6U2B" localSheetId="25">#REF!</definedName>
    <definedName name="PAGE8_6U2B" localSheetId="8">#REF!</definedName>
    <definedName name="PAGE8_6U2B" localSheetId="22">'POA Data'!#REF!</definedName>
    <definedName name="PAGE8_6U2B">#REF!</definedName>
    <definedName name="PAGE8_6U3A" localSheetId="23">'F10_Excluding POA'!#REF!</definedName>
    <definedName name="PAGE8_6U3A" localSheetId="21">'F10_Including POA'!#REF!</definedName>
    <definedName name="PAGE8_6U3A" localSheetId="24">#REF!</definedName>
    <definedName name="PAGE8_6U3A" localSheetId="26">#REF!</definedName>
    <definedName name="PAGE8_6U3A" localSheetId="25">#REF!</definedName>
    <definedName name="PAGE8_6U3A" localSheetId="8">#REF!</definedName>
    <definedName name="PAGE8_6U3A" localSheetId="22">'POA Data'!#REF!</definedName>
    <definedName name="PAGE8_6U3A">#REF!</definedName>
    <definedName name="PAGE8_6U3B" localSheetId="23">'F10_Excluding POA'!#REF!</definedName>
    <definedName name="PAGE8_6U3B" localSheetId="21">'F10_Including POA'!#REF!</definedName>
    <definedName name="PAGE8_6U3B" localSheetId="24">#REF!</definedName>
    <definedName name="PAGE8_6U3B" localSheetId="26">#REF!</definedName>
    <definedName name="PAGE8_6U3B" localSheetId="25">#REF!</definedName>
    <definedName name="PAGE8_6U3B" localSheetId="8">#REF!</definedName>
    <definedName name="PAGE8_6U3B" localSheetId="22">'POA Data'!#REF!</definedName>
    <definedName name="PAGE8_6U3B">#REF!</definedName>
    <definedName name="PAGE9" localSheetId="23">'F10_Excluding POA'!#REF!</definedName>
    <definedName name="PAGE9" localSheetId="21">'F10_Including POA'!#REF!</definedName>
    <definedName name="PAGE9" localSheetId="24">#REF!</definedName>
    <definedName name="PAGE9" localSheetId="26">#REF!</definedName>
    <definedName name="PAGE9" localSheetId="25">#REF!</definedName>
    <definedName name="PAGE9" localSheetId="8">#REF!</definedName>
    <definedName name="PAGE9" localSheetId="22">'POA Data'!#REF!</definedName>
    <definedName name="PAGE9">#REF!</definedName>
    <definedName name="PAGE9_6" localSheetId="23">'F10_Excluding POA'!#REF!</definedName>
    <definedName name="PAGE9_6" localSheetId="21">'F10_Including POA'!#REF!</definedName>
    <definedName name="PAGE9_6" localSheetId="24">#REF!</definedName>
    <definedName name="PAGE9_6" localSheetId="26">#REF!</definedName>
    <definedName name="PAGE9_6" localSheetId="25">#REF!</definedName>
    <definedName name="PAGE9_6" localSheetId="8">#REF!</definedName>
    <definedName name="PAGE9_6" localSheetId="22">'POA Data'!#REF!</definedName>
    <definedName name="PAGE9_6">#REF!</definedName>
    <definedName name="Pop_Ratio" localSheetId="23">'F10_Excluding POA'!#REF!</definedName>
    <definedName name="Pop_Ratio" localSheetId="21">'F10_Including POA'!#REF!</definedName>
    <definedName name="Pop_Ratio" localSheetId="24">#REF!</definedName>
    <definedName name="Pop_Ratio" localSheetId="26">#REF!</definedName>
    <definedName name="Pop_Ratio" localSheetId="25">#REF!</definedName>
    <definedName name="Pop_Ratio" localSheetId="2">#REF!</definedName>
    <definedName name="Pop_Ratio" localSheetId="8">#REF!</definedName>
    <definedName name="Pop_Ratio" localSheetId="16">#REF!</definedName>
    <definedName name="Pop_Ratio" localSheetId="22">'POA Data'!#REF!</definedName>
    <definedName name="Pop_Ratio">#REF!</definedName>
    <definedName name="PRF_1" localSheetId="23">'F10_Excluding POA'!#REF!</definedName>
    <definedName name="PRF_1" localSheetId="21">'F10_Including POA'!#REF!</definedName>
    <definedName name="PRF_1" localSheetId="24">#REF!</definedName>
    <definedName name="PRF_1" localSheetId="26">#REF!</definedName>
    <definedName name="PRF_1" localSheetId="25">#REF!</definedName>
    <definedName name="PRF_1" localSheetId="8">#REF!</definedName>
    <definedName name="PRF_1" localSheetId="22">'POA Data'!#REF!</definedName>
    <definedName name="PRF_1">#REF!</definedName>
    <definedName name="PRF_2_P1" localSheetId="23">'F10_Excluding POA'!#REF!</definedName>
    <definedName name="PRF_2_P1" localSheetId="21">'F10_Including POA'!#REF!</definedName>
    <definedName name="PRF_2_P1" localSheetId="24">#REF!</definedName>
    <definedName name="PRF_2_P1" localSheetId="26">#REF!</definedName>
    <definedName name="PRF_2_P1" localSheetId="25">#REF!</definedName>
    <definedName name="PRF_2_P1" localSheetId="8">#REF!</definedName>
    <definedName name="PRF_2_P1" localSheetId="22">'POA Data'!#REF!</definedName>
    <definedName name="PRF_2_P1">#REF!</definedName>
    <definedName name="PRF_2_P2" localSheetId="23">'F10_Excluding POA'!#REF!</definedName>
    <definedName name="PRF_2_P2" localSheetId="21">'F10_Including POA'!#REF!</definedName>
    <definedName name="PRF_2_P2" localSheetId="24">#REF!</definedName>
    <definedName name="PRF_2_P2" localSheetId="26">#REF!</definedName>
    <definedName name="PRF_2_P2" localSheetId="25">#REF!</definedName>
    <definedName name="PRF_2_P2" localSheetId="8">#REF!</definedName>
    <definedName name="PRF_2_P2" localSheetId="22">'POA Data'!#REF!</definedName>
    <definedName name="PRF_2_P2">#REF!</definedName>
    <definedName name="PRF_3_AN1" localSheetId="23">'F10_Excluding POA'!#REF!</definedName>
    <definedName name="PRF_3_AN1" localSheetId="21">'F10_Including POA'!#REF!</definedName>
    <definedName name="PRF_3_AN1" localSheetId="24">#REF!</definedName>
    <definedName name="PRF_3_AN1" localSheetId="26">#REF!</definedName>
    <definedName name="PRF_3_AN1" localSheetId="25">#REF!</definedName>
    <definedName name="PRF_3_AN1" localSheetId="8">#REF!</definedName>
    <definedName name="PRF_3_AN1" localSheetId="22">'POA Data'!#REF!</definedName>
    <definedName name="PRF_3_AN1">#REF!</definedName>
    <definedName name="PRF_3_AN2" localSheetId="23">'F10_Excluding POA'!#REF!</definedName>
    <definedName name="PRF_3_AN2" localSheetId="21">'F10_Including POA'!#REF!</definedName>
    <definedName name="PRF_3_AN2" localSheetId="24">#REF!</definedName>
    <definedName name="PRF_3_AN2" localSheetId="26">#REF!</definedName>
    <definedName name="PRF_3_AN2" localSheetId="25">#REF!</definedName>
    <definedName name="PRF_3_AN2" localSheetId="8">#REF!</definedName>
    <definedName name="PRF_3_AN2" localSheetId="22">'POA Data'!#REF!</definedName>
    <definedName name="PRF_3_AN2">#REF!</definedName>
    <definedName name="PRF_3_AN3" localSheetId="23">'F10_Excluding POA'!#REF!</definedName>
    <definedName name="PRF_3_AN3" localSheetId="21">'F10_Including POA'!#REF!</definedName>
    <definedName name="PRF_3_AN3" localSheetId="24">#REF!</definedName>
    <definedName name="PRF_3_AN3" localSheetId="26">#REF!</definedName>
    <definedName name="PRF_3_AN3" localSheetId="25">#REF!</definedName>
    <definedName name="PRF_3_AN3" localSheetId="8">#REF!</definedName>
    <definedName name="PRF_3_AN3" localSheetId="22">'POA Data'!#REF!</definedName>
    <definedName name="PRF_3_AN3">#REF!</definedName>
    <definedName name="_xlnm.Print_Area" localSheetId="1">'F1 '!$A$1:$K$22</definedName>
    <definedName name="_xlnm.Print_Area" localSheetId="23">'F10_Excluding POA'!$A$1:$Q$167</definedName>
    <definedName name="_xlnm.Print_Area" localSheetId="21">'F10_Including POA'!$A$1:$Q$169</definedName>
    <definedName name="_xlnm.Print_Area" localSheetId="24">'F11'!$A$1:$R$176</definedName>
    <definedName name="_xlnm.Print_Area" localSheetId="26">'F12_Excluding POA'!$A$1:$O$77</definedName>
    <definedName name="_xlnm.Print_Area" localSheetId="25">'F12_Including POA'!$A$1:$P$77</definedName>
    <definedName name="_xlnm.Print_Area" localSheetId="27">'F13'!$A$1:$H$15</definedName>
    <definedName name="_xlnm.Print_Area" localSheetId="28">'F14'!$A$1:$AH$334</definedName>
    <definedName name="_xlnm.Print_Area" localSheetId="29">'F15'!$A$1:$H$42</definedName>
    <definedName name="_xlnm.Print_Area" localSheetId="2">'F2'!$A$1:$O$33</definedName>
    <definedName name="_xlnm.Print_Area" localSheetId="3">'F2.1'!$A$1:$V$38</definedName>
    <definedName name="_xlnm.Print_Area" localSheetId="4">'F2.2'!$A$1:$BJ$53</definedName>
    <definedName name="_xlnm.Print_Area" localSheetId="6">'F2.3'!$A$1:$BA$43</definedName>
    <definedName name="_xlnm.Print_Area" localSheetId="8">'F3'!$A$1:$N$18</definedName>
    <definedName name="_xlnm.Print_Area" localSheetId="9">'F3.1'!$B$1:$S$101</definedName>
    <definedName name="_xlnm.Print_Area" localSheetId="10">'F3.2'!$A$1:$AH$54</definedName>
    <definedName name="_xlnm.Print_Area" localSheetId="11">'F3.3'!$A$1:$O$50</definedName>
    <definedName name="_xlnm.Print_Area" localSheetId="12">'F4'!$A$1:$W$67</definedName>
    <definedName name="_xlnm.Print_Area" localSheetId="13">'F4 (E) Existing'!$A$1:$X$65</definedName>
    <definedName name="_xlnm.Print_Area" localSheetId="14">'F4 (N) New'!$A$1:$X$60</definedName>
    <definedName name="_xlnm.Print_Area" localSheetId="15">'F5'!$B$1:$I$116</definedName>
    <definedName name="_xlnm.Print_Area" localSheetId="17">'F7'!$B$1:$M$16</definedName>
    <definedName name="_xlnm.Print_Area" localSheetId="18">'F8'!$A$1:$L$47</definedName>
    <definedName name="_xlnm.Print_Area" localSheetId="19">'F9'!$A$1:$N$36</definedName>
    <definedName name="_xlnm.Print_Area" localSheetId="20">F9A!$A$1:$J$52</definedName>
    <definedName name="_xlnm.Print_Area" localSheetId="0">Index!$B$1:$D$32</definedName>
    <definedName name="_xlnm.Print_Area" localSheetId="22">'POA Data'!#REF!</definedName>
    <definedName name="_xlnm.Print_Area">#REF!</definedName>
    <definedName name="PRINT_AREA_MI" localSheetId="23">'F10_Excluding POA'!#REF!</definedName>
    <definedName name="PRINT_AREA_MI" localSheetId="21">'F10_Including POA'!#REF!</definedName>
    <definedName name="PRINT_AREA_MI" localSheetId="24">#REF!</definedName>
    <definedName name="PRINT_AREA_MI" localSheetId="26">#REF!</definedName>
    <definedName name="PRINT_AREA_MI" localSheetId="25">#REF!</definedName>
    <definedName name="PRINT_AREA_MI" localSheetId="8">#REF!</definedName>
    <definedName name="PRINT_AREA_MI" localSheetId="22">'POA Data'!#REF!</definedName>
    <definedName name="PRINT_AREA_MI">#REF!</definedName>
    <definedName name="_xlnm.Print_Titles" localSheetId="9">'F3.1'!$2:$4</definedName>
    <definedName name="_xlnm.Print_Titles" localSheetId="12">'F4'!$2:$4</definedName>
    <definedName name="_xlnm.Print_Titles" localSheetId="13">'F4 (E) Existing'!$2:$4</definedName>
    <definedName name="_xlnm.Print_Titles" localSheetId="14">'F4 (N) New'!$2:$4</definedName>
    <definedName name="_xlnm.Print_Titles" localSheetId="15">'F5'!$2:$4</definedName>
    <definedName name="_xlnm.Print_Titles" localSheetId="16">'F6'!$2:$4</definedName>
    <definedName name="q" localSheetId="17">'[14]A 3.7'!$I$35,'[14]A 3.7'!$I$44</definedName>
    <definedName name="q">'[14]A 3.7'!$I$35,'[14]A 3.7'!$I$44</definedName>
    <definedName name="S" localSheetId="23">'F10_Excluding POA'!#REF!</definedName>
    <definedName name="S" localSheetId="21">'F10_Including POA'!#REF!</definedName>
    <definedName name="S" localSheetId="24">#REF!</definedName>
    <definedName name="S" localSheetId="26">#REF!</definedName>
    <definedName name="S" localSheetId="25">#REF!</definedName>
    <definedName name="S" localSheetId="8">#REF!</definedName>
    <definedName name="S" localSheetId="17">#REF!</definedName>
    <definedName name="S" localSheetId="22">'POA Data'!#REF!</definedName>
    <definedName name="S">#REF!</definedName>
    <definedName name="SECOAL" localSheetId="23">'F10_Excluding POA'!#REF!</definedName>
    <definedName name="SECOAL" localSheetId="21">'F10_Including POA'!#REF!</definedName>
    <definedName name="SECOAL" localSheetId="24">#REF!</definedName>
    <definedName name="SECOAL" localSheetId="26">#REF!</definedName>
    <definedName name="SECOAL" localSheetId="25">#REF!</definedName>
    <definedName name="SECOAL" localSheetId="8">#REF!</definedName>
    <definedName name="SECOAL" localSheetId="22">'POA Data'!#REF!</definedName>
    <definedName name="SECOAL">#REF!</definedName>
    <definedName name="SEOREP" localSheetId="23">'F10_Excluding POA'!#REF!</definedName>
    <definedName name="SEOREP" localSheetId="21">'F10_Including POA'!#REF!</definedName>
    <definedName name="SEOREP" localSheetId="24">#REF!</definedName>
    <definedName name="SEOREP" localSheetId="26">#REF!</definedName>
    <definedName name="SEOREP" localSheetId="25">#REF!</definedName>
    <definedName name="SEOREP" localSheetId="8">#REF!</definedName>
    <definedName name="SEOREP" localSheetId="22">'POA Data'!#REF!</definedName>
    <definedName name="SEOREP">#REF!</definedName>
    <definedName name="SEREPORT" localSheetId="23">'F10_Excluding POA'!#REF!</definedName>
    <definedName name="SEREPORT" localSheetId="21">'F10_Including POA'!#REF!</definedName>
    <definedName name="SEREPORT" localSheetId="24">#REF!</definedName>
    <definedName name="SEREPORT" localSheetId="26">#REF!</definedName>
    <definedName name="SEREPORT" localSheetId="25">#REF!</definedName>
    <definedName name="SEREPORT" localSheetId="8">#REF!</definedName>
    <definedName name="SEREPORT" localSheetId="22">'POA Data'!#REF!</definedName>
    <definedName name="SEREPORT">#REF!</definedName>
    <definedName name="shft1">[8]SUMMERY!$P$1</definedName>
    <definedName name="shftI" localSheetId="17">[15]SUMMERY!$P$1</definedName>
    <definedName name="shftI">[16]SUMMERY!$P$1</definedName>
    <definedName name="t" localSheetId="23">'F10_Excluding POA'!#REF!</definedName>
    <definedName name="t" localSheetId="21">'F10_Including POA'!#REF!</definedName>
    <definedName name="t" localSheetId="24">#REF!</definedName>
    <definedName name="t" localSheetId="26">#REF!</definedName>
    <definedName name="t" localSheetId="25">#REF!</definedName>
    <definedName name="t" localSheetId="8">#REF!</definedName>
    <definedName name="t" localSheetId="17">#REF!</definedName>
    <definedName name="t" localSheetId="22">'POA Data'!#REF!</definedName>
    <definedName name="t">#REF!</definedName>
    <definedName name="TaxPaid10">[7]Assumptions!$B$22</definedName>
    <definedName name="TaxRate11">[7]Assumptions!$B$20</definedName>
    <definedName name="Taxrate12" localSheetId="23">'F10_Excluding POA'!#REF!</definedName>
    <definedName name="Taxrate12" localSheetId="21">'F10_Including POA'!#REF!</definedName>
    <definedName name="Taxrate12" localSheetId="24">#REF!</definedName>
    <definedName name="Taxrate12" localSheetId="26">#REF!</definedName>
    <definedName name="Taxrate12" localSheetId="25">#REF!</definedName>
    <definedName name="Taxrate12" localSheetId="8">#REF!</definedName>
    <definedName name="Taxrate12" localSheetId="17">#REF!</definedName>
    <definedName name="Taxrate12" localSheetId="22">'POA Data'!#REF!</definedName>
    <definedName name="Taxrate12">#REF!</definedName>
    <definedName name="TotalRoE10">[7]Assumptions!$B$23</definedName>
    <definedName name="tripping" localSheetId="23">'F10_Excluding POA'!#REF!</definedName>
    <definedName name="tripping" localSheetId="21">'F10_Including POA'!#REF!</definedName>
    <definedName name="tripping" localSheetId="24">#REF!</definedName>
    <definedName name="tripping" localSheetId="26">#REF!</definedName>
    <definedName name="tripping" localSheetId="25">#REF!</definedName>
    <definedName name="tripping" localSheetId="8">#REF!</definedName>
    <definedName name="tripping" localSheetId="17">#REF!</definedName>
    <definedName name="tripping" localSheetId="22">'POA Data'!#REF!</definedName>
    <definedName name="tripping">#REF!</definedName>
    <definedName name="uNIT1" localSheetId="23">'F10_Excluding POA'!#REF!</definedName>
    <definedName name="uNIT1" localSheetId="21">'F10_Including POA'!#REF!</definedName>
    <definedName name="uNIT1" localSheetId="24">#REF!</definedName>
    <definedName name="uNIT1" localSheetId="26">#REF!</definedName>
    <definedName name="uNIT1" localSheetId="25">#REF!</definedName>
    <definedName name="uNIT1" localSheetId="8">#REF!</definedName>
    <definedName name="uNIT1" localSheetId="22">'POA Data'!#REF!</definedName>
    <definedName name="uNIT1">#REF!</definedName>
    <definedName name="uNIT2" localSheetId="23">'F10_Excluding POA'!#REF!</definedName>
    <definedName name="uNIT2" localSheetId="21">'F10_Including POA'!#REF!</definedName>
    <definedName name="uNIT2" localSheetId="24">#REF!</definedName>
    <definedName name="uNIT2" localSheetId="26">#REF!</definedName>
    <definedName name="uNIT2" localSheetId="25">#REF!</definedName>
    <definedName name="uNIT2" localSheetId="8">#REF!</definedName>
    <definedName name="uNIT2" localSheetId="22">'POA Data'!#REF!</definedName>
    <definedName name="uNIT2">#REF!</definedName>
    <definedName name="uNIT3" localSheetId="23">'F10_Excluding POA'!#REF!</definedName>
    <definedName name="uNIT3" localSheetId="21">'F10_Including POA'!#REF!</definedName>
    <definedName name="uNIT3" localSheetId="24">#REF!</definedName>
    <definedName name="uNIT3" localSheetId="26">#REF!</definedName>
    <definedName name="uNIT3" localSheetId="25">#REF!</definedName>
    <definedName name="uNIT3" localSheetId="8">#REF!</definedName>
    <definedName name="uNIT3" localSheetId="22">'POA Data'!#REF!</definedName>
    <definedName name="uNIT3">#REF!</definedName>
    <definedName name="W" localSheetId="23">'F10_Excluding POA'!#REF!</definedName>
    <definedName name="W" localSheetId="21">'F10_Including POA'!#REF!</definedName>
    <definedName name="W" localSheetId="24">#REF!</definedName>
    <definedName name="W" localSheetId="26">#REF!</definedName>
    <definedName name="W" localSheetId="25">#REF!</definedName>
    <definedName name="W" localSheetId="8">#REF!</definedName>
    <definedName name="W" localSheetId="22">'POA Data'!#REF!</definedName>
    <definedName name="W">#REF!</definedName>
    <definedName name="WEEK_1A" localSheetId="23">'F10_Excluding POA'!#REF!</definedName>
    <definedName name="WEEK_1A" localSheetId="21">'F10_Including POA'!#REF!</definedName>
    <definedName name="WEEK_1A" localSheetId="24">#REF!</definedName>
    <definedName name="WEEK_1A" localSheetId="26">#REF!</definedName>
    <definedName name="WEEK_1A" localSheetId="25">#REF!</definedName>
    <definedName name="WEEK_1A" localSheetId="8">#REF!</definedName>
    <definedName name="WEEK_1A" localSheetId="22">'POA Data'!#REF!</definedName>
    <definedName name="WEEK_1A">#REF!</definedName>
    <definedName name="WEEK_1B" localSheetId="23">'F10_Excluding POA'!#REF!</definedName>
    <definedName name="WEEK_1B" localSheetId="21">'F10_Including POA'!#REF!</definedName>
    <definedName name="WEEK_1B" localSheetId="24">#REF!</definedName>
    <definedName name="WEEK_1B" localSheetId="26">#REF!</definedName>
    <definedName name="WEEK_1B" localSheetId="25">#REF!</definedName>
    <definedName name="WEEK_1B" localSheetId="8">#REF!</definedName>
    <definedName name="WEEK_1B" localSheetId="22">'POA Data'!#REF!</definedName>
    <definedName name="WEEK_1B">#REF!</definedName>
    <definedName name="WEEK_2A" localSheetId="23">'F10_Excluding POA'!#REF!</definedName>
    <definedName name="WEEK_2A" localSheetId="21">'F10_Including POA'!#REF!</definedName>
    <definedName name="WEEK_2A" localSheetId="24">#REF!</definedName>
    <definedName name="WEEK_2A" localSheetId="26">#REF!</definedName>
    <definedName name="WEEK_2A" localSheetId="25">#REF!</definedName>
    <definedName name="WEEK_2A" localSheetId="8">#REF!</definedName>
    <definedName name="WEEK_2A" localSheetId="22">'POA Data'!#REF!</definedName>
    <definedName name="WEEK_2A">#REF!</definedName>
    <definedName name="WEEK_2B" localSheetId="23">'F10_Excluding POA'!#REF!</definedName>
    <definedName name="WEEK_2B" localSheetId="21">'F10_Including POA'!#REF!</definedName>
    <definedName name="WEEK_2B" localSheetId="24">#REF!</definedName>
    <definedName name="WEEK_2B" localSheetId="26">#REF!</definedName>
    <definedName name="WEEK_2B" localSheetId="25">#REF!</definedName>
    <definedName name="WEEK_2B" localSheetId="8">#REF!</definedName>
    <definedName name="WEEK_2B" localSheetId="22">'POA Data'!#REF!</definedName>
    <definedName name="WEEK_2B">#REF!</definedName>
    <definedName name="Working_capital_Rate_of_Interest_for_FY_10_11" localSheetId="17">[4]Assumption_PwC!$C$116</definedName>
    <definedName name="Working_capital_Rate_of_Interest_for_FY_10_11">[5]Assumption_PwC!$C$116</definedName>
    <definedName name="X1_" localSheetId="23">'F10_Excluding POA'!#REF!</definedName>
    <definedName name="X1_" localSheetId="21">'F10_Including POA'!#REF!</definedName>
    <definedName name="X1_" localSheetId="24">#REF!</definedName>
    <definedName name="X1_" localSheetId="26">#REF!</definedName>
    <definedName name="X1_" localSheetId="25">#REF!</definedName>
    <definedName name="X1_" localSheetId="2">#REF!</definedName>
    <definedName name="X1_" localSheetId="8">#REF!</definedName>
    <definedName name="X1_" localSheetId="16">#REF!</definedName>
    <definedName name="X1_" localSheetId="17">#REF!</definedName>
    <definedName name="X1_" localSheetId="22">'POA Data'!#REF!</definedName>
    <definedName name="X1_">#REF!</definedName>
    <definedName name="X11__?___QUIT_" localSheetId="23">'F10_Excluding POA'!#REF!</definedName>
    <definedName name="X11__?___QUIT_" localSheetId="21">'F10_Including POA'!#REF!</definedName>
    <definedName name="X11__?___QUIT_" localSheetId="24">#REF!</definedName>
    <definedName name="X11__?___QUIT_" localSheetId="26">#REF!</definedName>
    <definedName name="X11__?___QUIT_" localSheetId="25">#REF!</definedName>
    <definedName name="X11__?___QUIT_" localSheetId="8">#REF!</definedName>
    <definedName name="X11__?___QUIT_" localSheetId="22">'POA Data'!#REF!</definedName>
    <definedName name="X11__?___QUIT_">#REF!</definedName>
    <definedName name="xxxx" localSheetId="23" hidden="1">[17]CE!#REF!</definedName>
    <definedName name="xxxx" localSheetId="21" hidden="1">[17]CE!#REF!</definedName>
    <definedName name="xxxx" localSheetId="24" hidden="1">[17]CE!#REF!</definedName>
    <definedName name="xxxx" localSheetId="26" hidden="1">[17]CE!#REF!</definedName>
    <definedName name="xxxx" localSheetId="25" hidden="1">[17]CE!#REF!</definedName>
    <definedName name="xxxx" localSheetId="8" hidden="1">[17]CE!#REF!</definedName>
    <definedName name="xxxx" hidden="1">[17]CE!#REF!</definedName>
    <definedName name="YEAR" localSheetId="23">'F10_Excluding POA'!#REF!</definedName>
    <definedName name="YEAR" localSheetId="21">'F10_Including POA'!#REF!</definedName>
    <definedName name="YEAR" localSheetId="24">#REF!</definedName>
    <definedName name="YEAR" localSheetId="26">#REF!</definedName>
    <definedName name="YEAR" localSheetId="25">#REF!</definedName>
    <definedName name="YEAR" localSheetId="2">#REF!</definedName>
    <definedName name="YEAR" localSheetId="8">#REF!</definedName>
    <definedName name="YEAR" localSheetId="11">#REF!</definedName>
    <definedName name="YEAR" localSheetId="16">#REF!</definedName>
    <definedName name="YEAR" localSheetId="22">'POA Data'!#REF!</definedName>
    <definedName name="YEAR">#REF!</definedName>
    <definedName name="Year1" localSheetId="23">'F10_Excluding POA'!#REF!</definedName>
    <definedName name="Year1" localSheetId="21">'F10_Including POA'!#REF!</definedName>
    <definedName name="Year1" localSheetId="24">#REF!</definedName>
    <definedName name="Year1" localSheetId="26">#REF!</definedName>
    <definedName name="Year1" localSheetId="25">#REF!</definedName>
    <definedName name="Year1" localSheetId="2">#REF!</definedName>
    <definedName name="Year1" localSheetId="8">#REF!</definedName>
    <definedName name="Year1" localSheetId="16">#REF!</definedName>
    <definedName name="Year1" localSheetId="22">'POA Data'!#REF!</definedName>
    <definedName name="Year1">#REF!</definedName>
  </definedNames>
  <calcPr calcId="191028" iterate="1"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98" l="1"/>
  <c r="H64" i="98"/>
  <c r="G64" i="98"/>
  <c r="F64" i="98"/>
  <c r="D69" i="98" s="1"/>
  <c r="E64" i="98"/>
  <c r="D68" i="98" s="1"/>
  <c r="D64" i="98"/>
  <c r="D67" i="98" s="1"/>
  <c r="P150" i="85" l="1"/>
  <c r="P151" i="85"/>
  <c r="Q150" i="85"/>
  <c r="Q151" i="85"/>
  <c r="J152" i="85"/>
  <c r="E128" i="85"/>
  <c r="F128" i="85"/>
  <c r="G128" i="85"/>
  <c r="H128" i="85"/>
  <c r="I128" i="85"/>
  <c r="D128" i="85"/>
  <c r="P110" i="85"/>
  <c r="Q110" i="85"/>
  <c r="P111" i="85"/>
  <c r="Q111" i="85"/>
  <c r="P112" i="85"/>
  <c r="Q112" i="85"/>
  <c r="P113" i="85"/>
  <c r="Q113" i="85"/>
  <c r="P114" i="85"/>
  <c r="Q114" i="85"/>
  <c r="P115" i="85"/>
  <c r="Q115" i="85"/>
  <c r="P116" i="85"/>
  <c r="Q116" i="85"/>
  <c r="P117" i="85"/>
  <c r="Q117" i="85"/>
  <c r="P118" i="85"/>
  <c r="Q118" i="85"/>
  <c r="P119" i="85"/>
  <c r="Q119" i="85"/>
  <c r="P120" i="85"/>
  <c r="Q120" i="85"/>
  <c r="P121" i="85"/>
  <c r="Q121" i="85"/>
  <c r="P122" i="85"/>
  <c r="Q122" i="85"/>
  <c r="P123" i="85"/>
  <c r="Q123" i="85"/>
  <c r="P124" i="85"/>
  <c r="Q124" i="85"/>
  <c r="P125" i="85"/>
  <c r="Q125" i="85"/>
  <c r="P126" i="85"/>
  <c r="Q126" i="85"/>
  <c r="P127" i="85"/>
  <c r="Q127" i="85"/>
  <c r="Q86" i="85"/>
  <c r="Q87" i="85"/>
  <c r="Q88" i="85"/>
  <c r="Q89" i="85"/>
  <c r="Q90" i="85"/>
  <c r="Q91" i="85"/>
  <c r="Q92" i="85"/>
  <c r="Q93" i="85"/>
  <c r="Q94" i="85"/>
  <c r="Q95" i="85"/>
  <c r="Q96" i="85"/>
  <c r="Q97" i="85"/>
  <c r="Q98" i="85"/>
  <c r="Q99" i="85"/>
  <c r="Q100" i="85"/>
  <c r="Q101" i="85"/>
  <c r="Q102" i="85"/>
  <c r="Q103" i="85"/>
  <c r="E104" i="85"/>
  <c r="F104" i="85"/>
  <c r="G104" i="85"/>
  <c r="H104" i="85"/>
  <c r="I104" i="85"/>
  <c r="D104" i="85"/>
  <c r="P86" i="85"/>
  <c r="P87" i="85"/>
  <c r="P88" i="85"/>
  <c r="P89" i="85"/>
  <c r="P90" i="85"/>
  <c r="P91" i="85"/>
  <c r="P92" i="85"/>
  <c r="P93" i="85"/>
  <c r="P94" i="85"/>
  <c r="P95" i="85"/>
  <c r="P96" i="85"/>
  <c r="P97" i="85"/>
  <c r="P98" i="85"/>
  <c r="P99" i="85"/>
  <c r="P100" i="85"/>
  <c r="P101" i="85"/>
  <c r="P102" i="85"/>
  <c r="P103" i="85"/>
  <c r="P77" i="85"/>
  <c r="Q77" i="85"/>
  <c r="E54" i="85"/>
  <c r="F54" i="85"/>
  <c r="G54" i="85"/>
  <c r="H54" i="85"/>
  <c r="I54" i="85"/>
  <c r="J54" i="85"/>
  <c r="K54" i="85"/>
  <c r="L54" i="85"/>
  <c r="M54" i="85"/>
  <c r="N54" i="85"/>
  <c r="O54" i="85"/>
  <c r="D54" i="85"/>
  <c r="P36" i="85"/>
  <c r="Q36" i="85"/>
  <c r="P37" i="85"/>
  <c r="Q37" i="85"/>
  <c r="P38" i="85"/>
  <c r="Q38" i="85"/>
  <c r="P39" i="85"/>
  <c r="Q39" i="85"/>
  <c r="P40" i="85"/>
  <c r="Q40" i="85"/>
  <c r="P41" i="85"/>
  <c r="Q41" i="85"/>
  <c r="P42" i="85"/>
  <c r="Q42" i="85"/>
  <c r="P43" i="85"/>
  <c r="Q43" i="85"/>
  <c r="P44" i="85"/>
  <c r="Q44" i="85"/>
  <c r="P45" i="85"/>
  <c r="Q45" i="85"/>
  <c r="P46" i="85"/>
  <c r="Q46" i="85"/>
  <c r="P47" i="85"/>
  <c r="Q47" i="85"/>
  <c r="P48" i="85"/>
  <c r="Q48" i="85"/>
  <c r="P49" i="85"/>
  <c r="Q49" i="85"/>
  <c r="P50" i="85"/>
  <c r="Q50" i="85"/>
  <c r="P51" i="85"/>
  <c r="Q51" i="85"/>
  <c r="P52" i="85"/>
  <c r="Q52" i="85"/>
  <c r="P53" i="85"/>
  <c r="Q53" i="85"/>
  <c r="E30" i="85"/>
  <c r="F30" i="85"/>
  <c r="G30" i="85"/>
  <c r="H30" i="85"/>
  <c r="I30" i="85"/>
  <c r="J30" i="85"/>
  <c r="K30" i="85"/>
  <c r="L30" i="85"/>
  <c r="M30" i="85"/>
  <c r="N30" i="85"/>
  <c r="O30" i="85"/>
  <c r="D30" i="85"/>
  <c r="P12" i="85"/>
  <c r="Q12" i="85"/>
  <c r="P13" i="85"/>
  <c r="Q13" i="85"/>
  <c r="P14" i="85"/>
  <c r="Q14" i="85"/>
  <c r="P15" i="85"/>
  <c r="Q15" i="85"/>
  <c r="P16" i="85"/>
  <c r="Q16" i="85"/>
  <c r="P17" i="85"/>
  <c r="Q17" i="85"/>
  <c r="P18" i="85"/>
  <c r="Q18" i="85"/>
  <c r="P19" i="85"/>
  <c r="Q19" i="85"/>
  <c r="P20" i="85"/>
  <c r="Q20" i="85"/>
  <c r="P21" i="85"/>
  <c r="Q21" i="85"/>
  <c r="P22" i="85"/>
  <c r="Q22" i="85"/>
  <c r="P23" i="85"/>
  <c r="Q23" i="85"/>
  <c r="P24" i="85"/>
  <c r="Q24" i="85"/>
  <c r="P25" i="85"/>
  <c r="Q25" i="85"/>
  <c r="P26" i="85"/>
  <c r="Q26" i="85"/>
  <c r="P27" i="85"/>
  <c r="Q27" i="85"/>
  <c r="P28" i="85"/>
  <c r="Q28" i="85"/>
  <c r="P29" i="85"/>
  <c r="Q29" i="85"/>
  <c r="Q109" i="85"/>
  <c r="Q128" i="85" s="1"/>
  <c r="Q85" i="85"/>
  <c r="Q104" i="85" s="1"/>
  <c r="Q35" i="85"/>
  <c r="Q11" i="85"/>
  <c r="F158" i="85"/>
  <c r="G158" i="85"/>
  <c r="H158" i="85"/>
  <c r="I158" i="85"/>
  <c r="J158" i="85"/>
  <c r="K158" i="85"/>
  <c r="L158" i="85"/>
  <c r="M158" i="85"/>
  <c r="N158" i="85"/>
  <c r="O158" i="85"/>
  <c r="E158" i="85"/>
  <c r="D158" i="85"/>
  <c r="P94" i="112"/>
  <c r="P95" i="112"/>
  <c r="P96" i="112"/>
  <c r="P97" i="112"/>
  <c r="P98" i="112"/>
  <c r="P99" i="112"/>
  <c r="D128" i="112"/>
  <c r="D127" i="112"/>
  <c r="Q54" i="85" l="1"/>
  <c r="Q30" i="85"/>
  <c r="X9" i="114" l="1"/>
  <c r="X8" i="114"/>
  <c r="P10" i="114"/>
  <c r="U7" i="117" l="1"/>
  <c r="V38" i="64"/>
  <c r="V39" i="64"/>
  <c r="V37" i="64"/>
  <c r="V34" i="64"/>
  <c r="V35" i="64"/>
  <c r="V36" i="64"/>
  <c r="V33" i="64"/>
  <c r="R38" i="64"/>
  <c r="R39" i="64"/>
  <c r="R40" i="64"/>
  <c r="R37" i="64"/>
  <c r="R34" i="64"/>
  <c r="R35" i="64"/>
  <c r="R36" i="64"/>
  <c r="R33" i="64"/>
  <c r="N38" i="64"/>
  <c r="N39" i="64"/>
  <c r="N40" i="64"/>
  <c r="N37" i="64"/>
  <c r="N34" i="64"/>
  <c r="N35" i="64"/>
  <c r="N36" i="64"/>
  <c r="N33" i="64"/>
  <c r="M40" i="64"/>
  <c r="J38" i="64"/>
  <c r="J39" i="64"/>
  <c r="J40" i="64"/>
  <c r="J37" i="64"/>
  <c r="J34" i="64"/>
  <c r="J35" i="64"/>
  <c r="J36" i="64"/>
  <c r="J33" i="64"/>
  <c r="I39" i="64"/>
  <c r="I40" i="64"/>
  <c r="F38" i="64"/>
  <c r="F39" i="64"/>
  <c r="F40" i="64"/>
  <c r="F37" i="64"/>
  <c r="F34" i="64"/>
  <c r="F35" i="64"/>
  <c r="F36" i="64"/>
  <c r="F33" i="64"/>
  <c r="E38" i="64"/>
  <c r="E39" i="64"/>
  <c r="E40" i="64"/>
  <c r="D38" i="64"/>
  <c r="D39" i="64"/>
  <c r="D40" i="64"/>
  <c r="D37" i="64"/>
  <c r="E19" i="64"/>
  <c r="E20" i="64"/>
  <c r="E21" i="64"/>
  <c r="E15" i="64"/>
  <c r="E16" i="64"/>
  <c r="E17" i="64"/>
  <c r="E14" i="64"/>
  <c r="F19" i="64"/>
  <c r="F20" i="64"/>
  <c r="F21" i="64"/>
  <c r="F18" i="64"/>
  <c r="F15" i="64"/>
  <c r="F16" i="64"/>
  <c r="F17" i="64"/>
  <c r="F14" i="64"/>
  <c r="I20" i="64"/>
  <c r="I21" i="64"/>
  <c r="I18" i="64"/>
  <c r="I15" i="64"/>
  <c r="I16" i="64"/>
  <c r="I17" i="64"/>
  <c r="I14" i="64"/>
  <c r="J19" i="64"/>
  <c r="J20" i="64"/>
  <c r="J21" i="64"/>
  <c r="J18" i="64"/>
  <c r="J15" i="64"/>
  <c r="J16" i="64"/>
  <c r="J17" i="64"/>
  <c r="J14" i="64"/>
  <c r="M19" i="64"/>
  <c r="M21" i="64"/>
  <c r="M18" i="64"/>
  <c r="M15" i="64"/>
  <c r="M16" i="64"/>
  <c r="M17" i="64"/>
  <c r="M14" i="64"/>
  <c r="N19" i="64"/>
  <c r="N20" i="64"/>
  <c r="N21" i="64"/>
  <c r="N18" i="64"/>
  <c r="N15" i="64"/>
  <c r="N16" i="64"/>
  <c r="N17" i="64"/>
  <c r="N14" i="64"/>
  <c r="Q19" i="64"/>
  <c r="Q20" i="64"/>
  <c r="Q21" i="64"/>
  <c r="Q18" i="64"/>
  <c r="Q15" i="64"/>
  <c r="Q16" i="64"/>
  <c r="Q17" i="64"/>
  <c r="Q14" i="64"/>
  <c r="R15" i="64"/>
  <c r="R16" i="64"/>
  <c r="R17" i="64"/>
  <c r="R14" i="64"/>
  <c r="R18" i="64"/>
  <c r="R19" i="64"/>
  <c r="R20" i="64"/>
  <c r="U19" i="64"/>
  <c r="U20" i="64"/>
  <c r="U21" i="64"/>
  <c r="U18" i="64"/>
  <c r="U15" i="64"/>
  <c r="U16" i="64"/>
  <c r="U17" i="64"/>
  <c r="U14" i="64"/>
  <c r="V19" i="64"/>
  <c r="V20" i="64"/>
  <c r="V21" i="64"/>
  <c r="V18" i="64"/>
  <c r="V15" i="64"/>
  <c r="V16" i="64"/>
  <c r="V17" i="64"/>
  <c r="V14" i="64"/>
  <c r="F59" i="64"/>
  <c r="D60" i="64"/>
  <c r="D61" i="64"/>
  <c r="D59" i="64"/>
  <c r="Q59" i="64"/>
  <c r="Q60" i="64"/>
  <c r="Q61" i="64"/>
  <c r="Q58" i="64"/>
  <c r="Q55" i="64"/>
  <c r="Q56" i="64"/>
  <c r="Q57" i="64"/>
  <c r="Q54" i="64"/>
  <c r="U59" i="64"/>
  <c r="U60" i="64"/>
  <c r="U61" i="64"/>
  <c r="U58" i="64"/>
  <c r="U55" i="64"/>
  <c r="U56" i="64"/>
  <c r="U57" i="64"/>
  <c r="U54" i="64"/>
  <c r="N61" i="64"/>
  <c r="M61" i="64"/>
  <c r="M53" i="103"/>
  <c r="M55" i="103" s="1"/>
  <c r="M59" i="64"/>
  <c r="M58" i="64"/>
  <c r="M57" i="64"/>
  <c r="M56" i="64"/>
  <c r="M55" i="64"/>
  <c r="M54" i="64"/>
  <c r="I52" i="103"/>
  <c r="I55" i="103" s="1"/>
  <c r="J60" i="64"/>
  <c r="J61" i="64"/>
  <c r="I57" i="64"/>
  <c r="I56" i="64"/>
  <c r="I55" i="64"/>
  <c r="I54" i="64"/>
  <c r="E51" i="103"/>
  <c r="E55" i="103" s="1"/>
  <c r="I60" i="64"/>
  <c r="I61" i="64"/>
  <c r="I58" i="64"/>
  <c r="F61" i="64"/>
  <c r="D58" i="64"/>
  <c r="E61" i="64"/>
  <c r="E59" i="64"/>
  <c r="E60" i="64"/>
  <c r="E57" i="64"/>
  <c r="E56" i="64"/>
  <c r="E55" i="64"/>
  <c r="E54" i="64"/>
  <c r="H15" i="122"/>
  <c r="D18" i="64"/>
  <c r="D20" i="64"/>
  <c r="D19" i="64"/>
  <c r="L21" i="64"/>
  <c r="R21" i="64"/>
  <c r="P21" i="64"/>
  <c r="H21" i="64"/>
  <c r="D21" i="64"/>
  <c r="V54" i="103"/>
  <c r="V61" i="64" s="1"/>
  <c r="R54" i="103"/>
  <c r="R61" i="64" s="1"/>
  <c r="Q55" i="103"/>
  <c r="U55" i="103"/>
  <c r="D55" i="103"/>
  <c r="V38" i="103"/>
  <c r="U37" i="103"/>
  <c r="U40" i="64" s="1"/>
  <c r="Q37" i="103"/>
  <c r="S37" i="103" s="1"/>
  <c r="T37" i="103" s="1"/>
  <c r="R38" i="103"/>
  <c r="N38" i="103"/>
  <c r="J38" i="103"/>
  <c r="F38" i="103"/>
  <c r="D38" i="103"/>
  <c r="V18" i="103"/>
  <c r="U18" i="103"/>
  <c r="R18" i="103"/>
  <c r="Q18" i="103"/>
  <c r="N18" i="103"/>
  <c r="J18" i="103"/>
  <c r="F18" i="103"/>
  <c r="D18" i="103"/>
  <c r="E27" i="98"/>
  <c r="F27" i="98"/>
  <c r="G27" i="98"/>
  <c r="H27" i="98"/>
  <c r="I27" i="98"/>
  <c r="D27" i="98"/>
  <c r="B102" i="122"/>
  <c r="B103" i="122" s="1"/>
  <c r="B104" i="122" s="1"/>
  <c r="B105" i="122" s="1"/>
  <c r="B106" i="122" s="1"/>
  <c r="B107" i="122" s="1"/>
  <c r="B108" i="122" s="1"/>
  <c r="B88" i="122"/>
  <c r="B89" i="122" s="1"/>
  <c r="B90" i="122" s="1"/>
  <c r="B91" i="122" s="1"/>
  <c r="B92" i="122" s="1"/>
  <c r="B93" i="122" s="1"/>
  <c r="B94" i="122" s="1"/>
  <c r="B79" i="122"/>
  <c r="B80" i="122" s="1"/>
  <c r="B81" i="122" s="1"/>
  <c r="B82" i="122" s="1"/>
  <c r="B83" i="122" s="1"/>
  <c r="B84" i="122" s="1"/>
  <c r="B85" i="122" s="1"/>
  <c r="B55" i="122"/>
  <c r="B56" i="122" s="1"/>
  <c r="B57" i="122" s="1"/>
  <c r="B58" i="122" s="1"/>
  <c r="B59" i="122" s="1"/>
  <c r="B60" i="122" s="1"/>
  <c r="B61" i="122" s="1"/>
  <c r="B41" i="122"/>
  <c r="B42" i="122" s="1"/>
  <c r="B43" i="122" s="1"/>
  <c r="B44" i="122" s="1"/>
  <c r="B45" i="122" s="1"/>
  <c r="B46" i="122" s="1"/>
  <c r="B47" i="122" s="1"/>
  <c r="B32" i="122"/>
  <c r="B33" i="122" s="1"/>
  <c r="B34" i="122" s="1"/>
  <c r="B35" i="122" s="1"/>
  <c r="B36" i="122" s="1"/>
  <c r="B37" i="122" s="1"/>
  <c r="B38" i="122" s="1"/>
  <c r="B12" i="122"/>
  <c r="B13" i="122" s="1"/>
  <c r="B14" i="122" s="1"/>
  <c r="B15" i="122" s="1"/>
  <c r="B16" i="122" s="1"/>
  <c r="B17" i="122" s="1"/>
  <c r="B18" i="122" s="1"/>
  <c r="J41" i="64" l="1"/>
  <c r="G38" i="64"/>
  <c r="H38" i="64" s="1"/>
  <c r="G40" i="64"/>
  <c r="H40" i="64" s="1"/>
  <c r="K40" i="64" s="1"/>
  <c r="L40" i="64" s="1"/>
  <c r="O40" i="64" s="1"/>
  <c r="P40" i="64" s="1"/>
  <c r="G39" i="64"/>
  <c r="H39" i="64" s="1"/>
  <c r="K39" i="64" s="1"/>
  <c r="L39" i="64" s="1"/>
  <c r="M60" i="64"/>
  <c r="M62" i="64" s="1"/>
  <c r="K21" i="64"/>
  <c r="W37" i="103"/>
  <c r="U22" i="64"/>
  <c r="S54" i="103"/>
  <c r="T54" i="103" s="1"/>
  <c r="W54" i="103" s="1"/>
  <c r="I59" i="64"/>
  <c r="I62" i="64" s="1"/>
  <c r="S21" i="64"/>
  <c r="T21" i="64" s="1"/>
  <c r="W21" i="64" s="1"/>
  <c r="Q40" i="64"/>
  <c r="Q22" i="64"/>
  <c r="G61" i="64"/>
  <c r="H61" i="64" s="1"/>
  <c r="K61" i="64" s="1"/>
  <c r="L61" i="64" s="1"/>
  <c r="O61" i="64" s="1"/>
  <c r="P61" i="64" s="1"/>
  <c r="S61" i="64" s="1"/>
  <c r="T61" i="64" s="1"/>
  <c r="W61" i="64" s="1"/>
  <c r="R41" i="64"/>
  <c r="N41" i="64"/>
  <c r="F41" i="64"/>
  <c r="F22" i="64"/>
  <c r="J22" i="64"/>
  <c r="N22" i="64"/>
  <c r="R22" i="64"/>
  <c r="V22" i="64"/>
  <c r="Q62" i="64"/>
  <c r="U62" i="64"/>
  <c r="E58" i="64"/>
  <c r="E62" i="64" s="1"/>
  <c r="O21" i="64"/>
  <c r="G21" i="64"/>
  <c r="S40" i="64" l="1"/>
  <c r="T40" i="64" s="1"/>
  <c r="J32" i="3" l="1"/>
  <c r="F16" i="117" l="1"/>
  <c r="G16" i="117"/>
  <c r="H16" i="117"/>
  <c r="I16" i="117"/>
  <c r="J16" i="117"/>
  <c r="K16" i="117"/>
  <c r="L16" i="117"/>
  <c r="M16" i="117"/>
  <c r="N16" i="117"/>
  <c r="O16" i="117"/>
  <c r="P16" i="117"/>
  <c r="Q16" i="117"/>
  <c r="R7" i="117"/>
  <c r="R8" i="117"/>
  <c r="R9" i="117"/>
  <c r="R10" i="117"/>
  <c r="L11" i="117"/>
  <c r="V51" i="103"/>
  <c r="R51" i="103"/>
  <c r="N51" i="103"/>
  <c r="J51" i="103"/>
  <c r="F51" i="103"/>
  <c r="U34" i="103"/>
  <c r="U37" i="64" s="1"/>
  <c r="Q34" i="103"/>
  <c r="Q37" i="64" s="1"/>
  <c r="M34" i="103"/>
  <c r="M37" i="64" s="1"/>
  <c r="I34" i="103"/>
  <c r="I37" i="64" s="1"/>
  <c r="E34" i="103"/>
  <c r="E37" i="64" s="1"/>
  <c r="E14" i="103"/>
  <c r="M19" i="88"/>
  <c r="D10" i="87"/>
  <c r="F93" i="88"/>
  <c r="G93" i="88" s="1"/>
  <c r="F88" i="88"/>
  <c r="G88" i="88" s="1"/>
  <c r="H99" i="88"/>
  <c r="I99" i="88"/>
  <c r="J99" i="88"/>
  <c r="D15" i="122" l="1"/>
  <c r="D18" i="122" s="1"/>
  <c r="E11" i="122" s="1"/>
  <c r="D33" i="3"/>
  <c r="D34" i="3" s="1"/>
  <c r="U8" i="117"/>
  <c r="V5" i="117"/>
  <c r="R12" i="117"/>
  <c r="F17" i="117" s="1"/>
  <c r="O17" i="117"/>
  <c r="O18" i="117" s="1"/>
  <c r="O19" i="117" s="1"/>
  <c r="O20" i="117" s="1"/>
  <c r="O21" i="117" s="1"/>
  <c r="O22" i="117" s="1"/>
  <c r="R58" i="64"/>
  <c r="V58" i="64"/>
  <c r="E18" i="103"/>
  <c r="E18" i="64"/>
  <c r="E22" i="64" s="1"/>
  <c r="G37" i="64"/>
  <c r="H37" i="64" s="1"/>
  <c r="K37" i="64" s="1"/>
  <c r="L37" i="64" s="1"/>
  <c r="O37" i="64" s="1"/>
  <c r="P37" i="64" s="1"/>
  <c r="S37" i="64" s="1"/>
  <c r="T37" i="64" s="1"/>
  <c r="W37" i="64" s="1"/>
  <c r="F58" i="64"/>
  <c r="F55" i="103"/>
  <c r="J58" i="64"/>
  <c r="N58" i="64"/>
  <c r="P17" i="117"/>
  <c r="P18" i="117" s="1"/>
  <c r="P19" i="117" s="1"/>
  <c r="P20" i="117" s="1"/>
  <c r="P21" i="117" s="1"/>
  <c r="P22" i="117" s="1"/>
  <c r="Q17" i="117"/>
  <c r="Q18" i="117" s="1"/>
  <c r="Q19" i="117" s="1"/>
  <c r="Q20" i="117" s="1"/>
  <c r="Q21" i="117" s="1"/>
  <c r="Q22" i="117" s="1"/>
  <c r="G17" i="117"/>
  <c r="G18" i="117" s="1"/>
  <c r="G19" i="117" s="1"/>
  <c r="G20" i="117" s="1"/>
  <c r="G21" i="117" s="1"/>
  <c r="G22" i="117" s="1"/>
  <c r="H17" i="117"/>
  <c r="H18" i="117" s="1"/>
  <c r="H19" i="117" s="1"/>
  <c r="H20" i="117" s="1"/>
  <c r="H21" i="117" s="1"/>
  <c r="H22" i="117" s="1"/>
  <c r="I17" i="117"/>
  <c r="I18" i="117" s="1"/>
  <c r="I19" i="117" s="1"/>
  <c r="I20" i="117" s="1"/>
  <c r="I21" i="117" s="1"/>
  <c r="I22" i="117" s="1"/>
  <c r="J17" i="117"/>
  <c r="J18" i="117" s="1"/>
  <c r="J19" i="117" s="1"/>
  <c r="J20" i="117" s="1"/>
  <c r="J21" i="117" s="1"/>
  <c r="J22" i="117" s="1"/>
  <c r="K17" i="117"/>
  <c r="K18" i="117" s="1"/>
  <c r="K19" i="117" s="1"/>
  <c r="K20" i="117" s="1"/>
  <c r="K21" i="117" s="1"/>
  <c r="K22" i="117" s="1"/>
  <c r="L17" i="117"/>
  <c r="L18" i="117" s="1"/>
  <c r="L19" i="117" s="1"/>
  <c r="L20" i="117" s="1"/>
  <c r="L21" i="117" s="1"/>
  <c r="L22" i="117" s="1"/>
  <c r="N17" i="117"/>
  <c r="N18" i="117" s="1"/>
  <c r="N19" i="117" s="1"/>
  <c r="N20" i="117" s="1"/>
  <c r="N21" i="117" s="1"/>
  <c r="N22" i="117" s="1"/>
  <c r="R11" i="117"/>
  <c r="R16" i="117"/>
  <c r="M17" i="117"/>
  <c r="M18" i="117" s="1"/>
  <c r="M19" i="117" s="1"/>
  <c r="M20" i="117" s="1"/>
  <c r="M21" i="117" s="1"/>
  <c r="M22" i="117" s="1"/>
  <c r="D167" i="85" l="1"/>
  <c r="W5" i="117"/>
  <c r="D36" i="3"/>
  <c r="E32" i="3" s="1"/>
  <c r="R17" i="117"/>
  <c r="F18" i="117"/>
  <c r="D42" i="98"/>
  <c r="U35" i="102"/>
  <c r="U36" i="64" s="1"/>
  <c r="Q35" i="102"/>
  <c r="Q36" i="64" s="1"/>
  <c r="M35" i="102"/>
  <c r="M36" i="64" s="1"/>
  <c r="E35" i="102"/>
  <c r="E36" i="64" s="1"/>
  <c r="E34" i="102"/>
  <c r="E35" i="64" s="1"/>
  <c r="E33" i="102"/>
  <c r="E34" i="64" s="1"/>
  <c r="E32" i="102"/>
  <c r="E33" i="64" s="1"/>
  <c r="E41" i="64" s="1"/>
  <c r="D55" i="102"/>
  <c r="D57" i="64" s="1"/>
  <c r="D54" i="102"/>
  <c r="D56" i="64" s="1"/>
  <c r="D53" i="102"/>
  <c r="D55" i="64" s="1"/>
  <c r="D52" i="102"/>
  <c r="D54" i="64" s="1"/>
  <c r="D62" i="64" s="1"/>
  <c r="D32" i="102"/>
  <c r="D33" i="64" s="1"/>
  <c r="K32" i="3" l="1"/>
  <c r="X5" i="117"/>
  <c r="E167" i="85"/>
  <c r="R18" i="117"/>
  <c r="F19" i="117"/>
  <c r="F82" i="88"/>
  <c r="G82" i="88" s="1"/>
  <c r="F66" i="88"/>
  <c r="F99" i="88" s="1"/>
  <c r="Y5" i="117" l="1"/>
  <c r="F167" i="85"/>
  <c r="R19" i="117"/>
  <c r="F20" i="117"/>
  <c r="L29" i="86"/>
  <c r="J29" i="86"/>
  <c r="H29" i="86"/>
  <c r="F29" i="86"/>
  <c r="D29" i="86"/>
  <c r="D74" i="85"/>
  <c r="E74" i="85"/>
  <c r="F74" i="85"/>
  <c r="G74" i="85"/>
  <c r="H74" i="85"/>
  <c r="I74" i="85"/>
  <c r="J74" i="85"/>
  <c r="K74" i="85"/>
  <c r="L74" i="85"/>
  <c r="M74" i="85"/>
  <c r="N74" i="85"/>
  <c r="O74" i="85"/>
  <c r="D75" i="85"/>
  <c r="E75" i="85"/>
  <c r="F75" i="85"/>
  <c r="G75" i="85"/>
  <c r="H75" i="85"/>
  <c r="I75" i="85"/>
  <c r="J75" i="85"/>
  <c r="K75" i="85"/>
  <c r="L75" i="85"/>
  <c r="M75" i="85"/>
  <c r="N75" i="85"/>
  <c r="O75" i="85"/>
  <c r="D76" i="85"/>
  <c r="E76" i="85"/>
  <c r="F76" i="85"/>
  <c r="G76" i="85"/>
  <c r="H76" i="85"/>
  <c r="I76" i="85"/>
  <c r="J76" i="85"/>
  <c r="K76" i="85"/>
  <c r="L76" i="85"/>
  <c r="M76" i="85"/>
  <c r="N76" i="85"/>
  <c r="O76" i="85"/>
  <c r="E40" i="98"/>
  <c r="F40" i="98"/>
  <c r="G40" i="98"/>
  <c r="H40" i="98"/>
  <c r="E41" i="98"/>
  <c r="F41" i="98"/>
  <c r="G41" i="98"/>
  <c r="H41" i="98"/>
  <c r="E42" i="98"/>
  <c r="F42" i="98"/>
  <c r="G42" i="98"/>
  <c r="H42" i="98"/>
  <c r="D41" i="98"/>
  <c r="D40" i="98"/>
  <c r="E39" i="98"/>
  <c r="F39" i="98"/>
  <c r="G39" i="98"/>
  <c r="H39" i="98"/>
  <c r="D39" i="98"/>
  <c r="V53" i="103"/>
  <c r="V60" i="64" s="1"/>
  <c r="R53" i="103"/>
  <c r="R60" i="64" s="1"/>
  <c r="N53" i="103"/>
  <c r="N60" i="64" s="1"/>
  <c r="V52" i="103"/>
  <c r="R52" i="103"/>
  <c r="N52" i="103"/>
  <c r="J52" i="103"/>
  <c r="E38" i="98"/>
  <c r="F38" i="98"/>
  <c r="G38" i="98"/>
  <c r="H38" i="98"/>
  <c r="D38" i="98"/>
  <c r="E37" i="98"/>
  <c r="F37" i="98"/>
  <c r="G37" i="98"/>
  <c r="H37" i="98"/>
  <c r="D37" i="98"/>
  <c r="H34" i="98"/>
  <c r="G34" i="98"/>
  <c r="F34" i="98"/>
  <c r="E34" i="98"/>
  <c r="D34" i="98"/>
  <c r="U36" i="103"/>
  <c r="U39" i="64" s="1"/>
  <c r="U35" i="103"/>
  <c r="U38" i="64" s="1"/>
  <c r="Q36" i="103"/>
  <c r="Q39" i="64" s="1"/>
  <c r="Q35" i="103"/>
  <c r="Q38" i="64" s="1"/>
  <c r="M36" i="103"/>
  <c r="M39" i="64" s="1"/>
  <c r="O39" i="64" s="1"/>
  <c r="P39" i="64" s="1"/>
  <c r="M35" i="103"/>
  <c r="M38" i="64" s="1"/>
  <c r="I35" i="103"/>
  <c r="I38" i="64" s="1"/>
  <c r="M16" i="103"/>
  <c r="M20" i="64" s="1"/>
  <c r="M22" i="64" s="1"/>
  <c r="I15" i="103"/>
  <c r="I19" i="64" s="1"/>
  <c r="I22" i="64" s="1"/>
  <c r="I48" i="90"/>
  <c r="M48" i="90"/>
  <c r="F60" i="64"/>
  <c r="V55" i="102"/>
  <c r="V57" i="64" s="1"/>
  <c r="V54" i="102"/>
  <c r="V56" i="64" s="1"/>
  <c r="V53" i="102"/>
  <c r="V55" i="64" s="1"/>
  <c r="V52" i="102"/>
  <c r="V54" i="64" s="1"/>
  <c r="R55" i="102"/>
  <c r="R57" i="64" s="1"/>
  <c r="R54" i="102"/>
  <c r="R56" i="64" s="1"/>
  <c r="R53" i="102"/>
  <c r="R55" i="64" s="1"/>
  <c r="R52" i="102"/>
  <c r="R54" i="64" s="1"/>
  <c r="N55" i="102"/>
  <c r="N57" i="64" s="1"/>
  <c r="N54" i="102"/>
  <c r="N56" i="64" s="1"/>
  <c r="N53" i="102"/>
  <c r="N55" i="64" s="1"/>
  <c r="N52" i="102"/>
  <c r="N54" i="64" s="1"/>
  <c r="J55" i="102"/>
  <c r="J57" i="64" s="1"/>
  <c r="J54" i="102"/>
  <c r="J56" i="64" s="1"/>
  <c r="J53" i="102"/>
  <c r="J55" i="64" s="1"/>
  <c r="J52" i="102"/>
  <c r="J54" i="64" s="1"/>
  <c r="F55" i="102"/>
  <c r="F57" i="64" s="1"/>
  <c r="F54" i="102"/>
  <c r="F56" i="64" s="1"/>
  <c r="F53" i="102"/>
  <c r="F55" i="64" s="1"/>
  <c r="G55" i="64" s="1"/>
  <c r="H55" i="64" s="1"/>
  <c r="K55" i="64" s="1"/>
  <c r="L55" i="64" s="1"/>
  <c r="O55" i="64" s="1"/>
  <c r="P55" i="64" s="1"/>
  <c r="S55" i="64" s="1"/>
  <c r="T55" i="64" s="1"/>
  <c r="W55" i="64" s="1"/>
  <c r="F52" i="102"/>
  <c r="F54" i="64" s="1"/>
  <c r="D17" i="102"/>
  <c r="D16" i="102"/>
  <c r="D15" i="102"/>
  <c r="D15" i="64" s="1"/>
  <c r="D14" i="102"/>
  <c r="D14" i="64" s="1"/>
  <c r="U34" i="102"/>
  <c r="U35" i="64" s="1"/>
  <c r="U33" i="102"/>
  <c r="U34" i="64" s="1"/>
  <c r="U32" i="102"/>
  <c r="U33" i="64" s="1"/>
  <c r="Q34" i="102"/>
  <c r="Q35" i="64" s="1"/>
  <c r="Q33" i="102"/>
  <c r="Q34" i="64" s="1"/>
  <c r="Q32" i="102"/>
  <c r="Q33" i="64" s="1"/>
  <c r="M34" i="102"/>
  <c r="M35" i="64" s="1"/>
  <c r="M33" i="102"/>
  <c r="M34" i="64" s="1"/>
  <c r="M32" i="102"/>
  <c r="M33" i="64" s="1"/>
  <c r="I35" i="102"/>
  <c r="I36" i="64" s="1"/>
  <c r="I34" i="102"/>
  <c r="I35" i="64" s="1"/>
  <c r="I33" i="102"/>
  <c r="I34" i="64" s="1"/>
  <c r="I32" i="102"/>
  <c r="I33" i="64" s="1"/>
  <c r="D35" i="102"/>
  <c r="D36" i="64" s="1"/>
  <c r="G36" i="64" s="1"/>
  <c r="H36" i="64" s="1"/>
  <c r="K36" i="64" s="1"/>
  <c r="L36" i="64" s="1"/>
  <c r="O36" i="64" s="1"/>
  <c r="P36" i="64" s="1"/>
  <c r="S36" i="64" s="1"/>
  <c r="T36" i="64" s="1"/>
  <c r="W36" i="64" s="1"/>
  <c r="D34" i="102"/>
  <c r="D35" i="64" s="1"/>
  <c r="G35" i="64" s="1"/>
  <c r="H35" i="64" s="1"/>
  <c r="K35" i="64" s="1"/>
  <c r="L35" i="64" s="1"/>
  <c r="O35" i="64" s="1"/>
  <c r="P35" i="64" s="1"/>
  <c r="S35" i="64" s="1"/>
  <c r="T35" i="64" s="1"/>
  <c r="W35" i="64" s="1"/>
  <c r="D33" i="102"/>
  <c r="D34" i="64" s="1"/>
  <c r="D41" i="64" l="1"/>
  <c r="G34" i="64"/>
  <c r="H34" i="64" s="1"/>
  <c r="K34" i="64" s="1"/>
  <c r="L34" i="64" s="1"/>
  <c r="O34" i="64" s="1"/>
  <c r="P34" i="64" s="1"/>
  <c r="S34" i="64" s="1"/>
  <c r="T34" i="64" s="1"/>
  <c r="W34" i="64" s="1"/>
  <c r="D16" i="64"/>
  <c r="G14" i="89"/>
  <c r="O14" i="89" s="1"/>
  <c r="D17" i="64"/>
  <c r="G15" i="89"/>
  <c r="F62" i="64"/>
  <c r="P76" i="85"/>
  <c r="Q76" i="85"/>
  <c r="P75" i="85"/>
  <c r="Q75" i="85"/>
  <c r="P74" i="85"/>
  <c r="Q74" i="85"/>
  <c r="Z5" i="117"/>
  <c r="H167" i="85" s="1"/>
  <c r="G167" i="85"/>
  <c r="U41" i="64"/>
  <c r="M41" i="64"/>
  <c r="R59" i="64"/>
  <c r="R62" i="64" s="1"/>
  <c r="R55" i="103"/>
  <c r="N59" i="64"/>
  <c r="N62" i="64" s="1"/>
  <c r="N55" i="103"/>
  <c r="S39" i="64"/>
  <c r="T39" i="64" s="1"/>
  <c r="W39" i="64" s="1"/>
  <c r="K38" i="64"/>
  <c r="L38" i="64" s="1"/>
  <c r="O38" i="64" s="1"/>
  <c r="P38" i="64" s="1"/>
  <c r="S38" i="64" s="1"/>
  <c r="T38" i="64" s="1"/>
  <c r="W38" i="64" s="1"/>
  <c r="I41" i="64"/>
  <c r="Q41" i="64"/>
  <c r="V59" i="64"/>
  <c r="V62" i="64" s="1"/>
  <c r="V55" i="103"/>
  <c r="J59" i="64"/>
  <c r="J62" i="64" s="1"/>
  <c r="J55" i="103"/>
  <c r="U38" i="103"/>
  <c r="Q38" i="103"/>
  <c r="G59" i="64"/>
  <c r="H59" i="64" s="1"/>
  <c r="G60" i="64"/>
  <c r="H60" i="64" s="1"/>
  <c r="K60" i="64" s="1"/>
  <c r="L60" i="64" s="1"/>
  <c r="O60" i="64" s="1"/>
  <c r="P60" i="64" s="1"/>
  <c r="S60" i="64" s="1"/>
  <c r="T60" i="64" s="1"/>
  <c r="W60" i="64" s="1"/>
  <c r="G15" i="64"/>
  <c r="H15" i="64" s="1"/>
  <c r="K15" i="64" s="1"/>
  <c r="L15" i="64" s="1"/>
  <c r="O15" i="64" s="1"/>
  <c r="P15" i="64" s="1"/>
  <c r="S15" i="64" s="1"/>
  <c r="T15" i="64" s="1"/>
  <c r="W15" i="64" s="1"/>
  <c r="G16" i="64"/>
  <c r="H16" i="64" s="1"/>
  <c r="K16" i="64" s="1"/>
  <c r="L16" i="64" s="1"/>
  <c r="O16" i="64" s="1"/>
  <c r="P16" i="64" s="1"/>
  <c r="S16" i="64" s="1"/>
  <c r="T16" i="64" s="1"/>
  <c r="W16" i="64" s="1"/>
  <c r="G20" i="64"/>
  <c r="H20" i="64" s="1"/>
  <c r="K20" i="64" s="1"/>
  <c r="L20" i="64" s="1"/>
  <c r="O20" i="64" s="1"/>
  <c r="P20" i="64" s="1"/>
  <c r="S20" i="64" s="1"/>
  <c r="T20" i="64" s="1"/>
  <c r="W20" i="64" s="1"/>
  <c r="G54" i="64"/>
  <c r="G14" i="64"/>
  <c r="G18" i="64"/>
  <c r="H18" i="64" s="1"/>
  <c r="K18" i="64" s="1"/>
  <c r="L18" i="64" s="1"/>
  <c r="O18" i="64" s="1"/>
  <c r="P18" i="64" s="1"/>
  <c r="S18" i="64" s="1"/>
  <c r="T18" i="64" s="1"/>
  <c r="W18" i="64" s="1"/>
  <c r="G56" i="64"/>
  <c r="G57" i="64"/>
  <c r="G17" i="64"/>
  <c r="H17" i="64" s="1"/>
  <c r="K17" i="64" s="1"/>
  <c r="L17" i="64" s="1"/>
  <c r="O17" i="64" s="1"/>
  <c r="P17" i="64" s="1"/>
  <c r="S17" i="64" s="1"/>
  <c r="T17" i="64" s="1"/>
  <c r="W17" i="64" s="1"/>
  <c r="G33" i="64"/>
  <c r="G19" i="64"/>
  <c r="H19" i="64" s="1"/>
  <c r="K19" i="64" s="1"/>
  <c r="L19" i="64" s="1"/>
  <c r="O19" i="64" s="1"/>
  <c r="P19" i="64" s="1"/>
  <c r="S19" i="64" s="1"/>
  <c r="T19" i="64" s="1"/>
  <c r="W19" i="64" s="1"/>
  <c r="F21" i="117"/>
  <c r="R20" i="117"/>
  <c r="E43" i="98"/>
  <c r="D43" i="98"/>
  <c r="G43" i="98"/>
  <c r="F43" i="98"/>
  <c r="G58" i="64"/>
  <c r="H58" i="64" s="1"/>
  <c r="K58" i="64" s="1"/>
  <c r="L58" i="64" s="1"/>
  <c r="O58" i="64" s="1"/>
  <c r="P58" i="64" s="1"/>
  <c r="S58" i="64" s="1"/>
  <c r="T58" i="64" s="1"/>
  <c r="W58" i="64" s="1"/>
  <c r="H43" i="98"/>
  <c r="F45" i="98" l="1"/>
  <c r="D45" i="98"/>
  <c r="D49" i="98" s="1"/>
  <c r="E49" i="98" s="1"/>
  <c r="E45" i="98"/>
  <c r="D22" i="64"/>
  <c r="K59" i="64"/>
  <c r="L59" i="64" s="1"/>
  <c r="O59" i="64" s="1"/>
  <c r="P59" i="64" s="1"/>
  <c r="S59" i="64" s="1"/>
  <c r="T59" i="64" s="1"/>
  <c r="W59" i="64" s="1"/>
  <c r="G41" i="64"/>
  <c r="H33" i="64"/>
  <c r="H41" i="64" s="1"/>
  <c r="H57" i="64"/>
  <c r="K57" i="64" s="1"/>
  <c r="H56" i="64"/>
  <c r="K56" i="64" s="1"/>
  <c r="H54" i="64"/>
  <c r="G62" i="64"/>
  <c r="H14" i="64"/>
  <c r="G22" i="64"/>
  <c r="R21" i="117"/>
  <c r="F22" i="117"/>
  <c r="R22" i="117" s="1"/>
  <c r="K33" i="64" l="1"/>
  <c r="K41" i="64" s="1"/>
  <c r="L57" i="64"/>
  <c r="O57" i="64" s="1"/>
  <c r="P57" i="64" s="1"/>
  <c r="S57" i="64" s="1"/>
  <c r="T57" i="64" s="1"/>
  <c r="W57" i="64" s="1"/>
  <c r="L56" i="64"/>
  <c r="O56" i="64" s="1"/>
  <c r="P56" i="64" s="1"/>
  <c r="S56" i="64" s="1"/>
  <c r="T56" i="64" s="1"/>
  <c r="W56" i="64" s="1"/>
  <c r="K54" i="64"/>
  <c r="L54" i="64" s="1"/>
  <c r="O54" i="64" s="1"/>
  <c r="P54" i="64" s="1"/>
  <c r="S54" i="64" s="1"/>
  <c r="T54" i="64" s="1"/>
  <c r="W54" i="64" s="1"/>
  <c r="H62" i="64"/>
  <c r="K62" i="64"/>
  <c r="K14" i="64"/>
  <c r="H22" i="64"/>
  <c r="F49" i="98"/>
  <c r="D10" i="98"/>
  <c r="D12" i="98" s="1"/>
  <c r="D27" i="14"/>
  <c r="D28" i="14" s="1"/>
  <c r="D29" i="14" s="1"/>
  <c r="B33" i="14" s="1"/>
  <c r="C33" i="14" s="1"/>
  <c r="D33" i="14" s="1"/>
  <c r="E33" i="14" s="1"/>
  <c r="F33" i="14" s="1"/>
  <c r="H24" i="14"/>
  <c r="P67" i="116"/>
  <c r="P35" i="116"/>
  <c r="P34" i="116"/>
  <c r="P33" i="116"/>
  <c r="D30" i="79"/>
  <c r="E30" i="79"/>
  <c r="F30" i="79"/>
  <c r="G30" i="79"/>
  <c r="H30" i="79"/>
  <c r="P158" i="85"/>
  <c r="L33" i="64" l="1"/>
  <c r="L41" i="64" s="1"/>
  <c r="L62" i="64"/>
  <c r="O62" i="64"/>
  <c r="L14" i="64"/>
  <c r="K22" i="64"/>
  <c r="G49" i="98"/>
  <c r="E10" i="98"/>
  <c r="E12" i="98" s="1"/>
  <c r="O33" i="64" l="1"/>
  <c r="P62" i="64"/>
  <c r="O14" i="64"/>
  <c r="L22" i="64"/>
  <c r="H49" i="98"/>
  <c r="F10" i="98"/>
  <c r="F12" i="98" s="1"/>
  <c r="O41" i="64" l="1"/>
  <c r="P33" i="64"/>
  <c r="P41" i="64" s="1"/>
  <c r="S62" i="64"/>
  <c r="P14" i="64"/>
  <c r="O22" i="64"/>
  <c r="I49" i="98"/>
  <c r="H10" i="98" s="1"/>
  <c r="H12" i="98" s="1"/>
  <c r="G10" i="98"/>
  <c r="G12" i="98" s="1"/>
  <c r="W62" i="64" l="1"/>
  <c r="T62" i="64"/>
  <c r="S14" i="64"/>
  <c r="P22" i="64"/>
  <c r="AE32" i="107"/>
  <c r="AF32" i="107"/>
  <c r="AG32" i="107"/>
  <c r="AH32" i="107"/>
  <c r="T14" i="64" l="1"/>
  <c r="S22" i="64"/>
  <c r="W14" i="64" l="1"/>
  <c r="W22" i="64" s="1"/>
  <c r="T22" i="64"/>
  <c r="S13" i="110" l="1"/>
  <c r="G13" i="110"/>
  <c r="AC30" i="114" l="1"/>
  <c r="AD30" i="114"/>
  <c r="AE30" i="114"/>
  <c r="AF30" i="114"/>
  <c r="AC31" i="114"/>
  <c r="AD31" i="114"/>
  <c r="AE31" i="114"/>
  <c r="AF31" i="114"/>
  <c r="AC32" i="114"/>
  <c r="AD32" i="114"/>
  <c r="AE32" i="114"/>
  <c r="AF32" i="114"/>
  <c r="AC33" i="114"/>
  <c r="AD33" i="114"/>
  <c r="AE33" i="114"/>
  <c r="AF33" i="114"/>
  <c r="AC34" i="114"/>
  <c r="AD34" i="114"/>
  <c r="AE34" i="114"/>
  <c r="AF34" i="114"/>
  <c r="AC35" i="114"/>
  <c r="AD35" i="114"/>
  <c r="AE35" i="114"/>
  <c r="AF35" i="114"/>
  <c r="AC36" i="114"/>
  <c r="AD36" i="114"/>
  <c r="AE36" i="114"/>
  <c r="AF36" i="114"/>
  <c r="AC37" i="114"/>
  <c r="AD37" i="114"/>
  <c r="AE37" i="114"/>
  <c r="AF37" i="114"/>
  <c r="X30" i="114"/>
  <c r="Y30" i="114"/>
  <c r="Z30" i="114"/>
  <c r="AA30" i="114"/>
  <c r="AB30" i="114"/>
  <c r="X31" i="114"/>
  <c r="Y31" i="114"/>
  <c r="Z31" i="114"/>
  <c r="AA31" i="114"/>
  <c r="AB31" i="114"/>
  <c r="X32" i="114"/>
  <c r="Y32" i="114"/>
  <c r="Z32" i="114"/>
  <c r="AA32" i="114"/>
  <c r="AB32" i="114"/>
  <c r="X33" i="114"/>
  <c r="Y33" i="114"/>
  <c r="Z33" i="114"/>
  <c r="AA33" i="114"/>
  <c r="AB33" i="114"/>
  <c r="X34" i="114"/>
  <c r="Y34" i="114"/>
  <c r="Z34" i="114"/>
  <c r="AA34" i="114"/>
  <c r="AB34" i="114"/>
  <c r="X35" i="114"/>
  <c r="Y35" i="114"/>
  <c r="Z35" i="114"/>
  <c r="AA35" i="114"/>
  <c r="AB35" i="114"/>
  <c r="X36" i="114"/>
  <c r="Y36" i="114"/>
  <c r="Z36" i="114"/>
  <c r="AA36" i="114"/>
  <c r="AB36" i="114"/>
  <c r="X37" i="114"/>
  <c r="Y37" i="114"/>
  <c r="Z37" i="114"/>
  <c r="AA37" i="114"/>
  <c r="AB37" i="114"/>
  <c r="X18" i="114"/>
  <c r="Y18" i="114"/>
  <c r="Z18" i="114"/>
  <c r="AA18" i="114"/>
  <c r="X19" i="114"/>
  <c r="Y19" i="114"/>
  <c r="Z19" i="114"/>
  <c r="AA19" i="114"/>
  <c r="X20" i="114"/>
  <c r="Y20" i="114"/>
  <c r="Z20" i="114"/>
  <c r="AA20" i="114"/>
  <c r="X21" i="114"/>
  <c r="Y21" i="114"/>
  <c r="Z21" i="114"/>
  <c r="AA21" i="114"/>
  <c r="X22" i="114"/>
  <c r="Y22" i="114"/>
  <c r="Z22" i="114"/>
  <c r="AA22" i="114"/>
  <c r="X23" i="114"/>
  <c r="Y23" i="114"/>
  <c r="Z23" i="114"/>
  <c r="AA23" i="114"/>
  <c r="X24" i="114"/>
  <c r="Y24" i="114"/>
  <c r="Z24" i="114"/>
  <c r="AA24" i="114"/>
  <c r="X25" i="114"/>
  <c r="Y25" i="114"/>
  <c r="Z25" i="114"/>
  <c r="AA25" i="114"/>
  <c r="X5" i="114"/>
  <c r="Y5" i="114"/>
  <c r="Z5" i="114"/>
  <c r="AA5" i="114"/>
  <c r="X6" i="114"/>
  <c r="Y6" i="114"/>
  <c r="Z6" i="114"/>
  <c r="AA6" i="114"/>
  <c r="X7" i="114"/>
  <c r="Y7" i="114"/>
  <c r="Z7" i="114"/>
  <c r="AA7" i="114"/>
  <c r="Y8" i="114"/>
  <c r="Z8" i="114"/>
  <c r="AA8" i="114"/>
  <c r="Y9" i="114"/>
  <c r="Z9" i="114"/>
  <c r="AA9" i="114"/>
  <c r="X10" i="114"/>
  <c r="Y10" i="114"/>
  <c r="Z10" i="114"/>
  <c r="AA10" i="114"/>
  <c r="X11" i="114"/>
  <c r="Y11" i="114"/>
  <c r="Z11" i="114"/>
  <c r="AA11" i="114"/>
  <c r="X12" i="114"/>
  <c r="Y12" i="114"/>
  <c r="Z12" i="114"/>
  <c r="AA12" i="114"/>
  <c r="R32" i="107"/>
  <c r="AB12" i="114" l="1"/>
  <c r="AF12" i="114" s="1"/>
  <c r="AB11" i="114"/>
  <c r="AF11" i="114" s="1"/>
  <c r="AB10" i="114"/>
  <c r="AF10" i="114" s="1"/>
  <c r="AB9" i="114"/>
  <c r="AF9" i="114" s="1"/>
  <c r="AB8" i="114"/>
  <c r="AF8" i="114" s="1"/>
  <c r="AB7" i="114"/>
  <c r="AF7" i="114" s="1"/>
  <c r="AB6" i="114"/>
  <c r="AF6" i="114" s="1"/>
  <c r="AB5" i="114"/>
  <c r="AF5" i="114" s="1"/>
  <c r="S32" i="107"/>
  <c r="T32" i="107" s="1"/>
  <c r="U32" i="107" s="1"/>
  <c r="Y32" i="107" s="1"/>
  <c r="Z32" i="107" s="1"/>
  <c r="AA32" i="107" s="1"/>
  <c r="AB32" i="107" s="1"/>
  <c r="AC32" i="107" s="1"/>
  <c r="AG36" i="114"/>
  <c r="AK36" i="114" s="1"/>
  <c r="AG30" i="114"/>
  <c r="AK30" i="114" s="1"/>
  <c r="AG35" i="114"/>
  <c r="AK35" i="114" s="1"/>
  <c r="AG34" i="114"/>
  <c r="AK34" i="114" s="1"/>
  <c r="AG33" i="114"/>
  <c r="AK33" i="114" s="1"/>
  <c r="AG32" i="114"/>
  <c r="AK32" i="114" s="1"/>
  <c r="AG37" i="114"/>
  <c r="AK37" i="114" s="1"/>
  <c r="AG31" i="114"/>
  <c r="AK31" i="114" s="1"/>
  <c r="G7" i="110" l="1"/>
  <c r="G31" i="110" s="1"/>
  <c r="G33" i="110" s="1"/>
  <c r="F7" i="110"/>
  <c r="F31" i="110" s="1"/>
  <c r="F33" i="110" s="1"/>
  <c r="E7" i="110"/>
  <c r="E31" i="110" s="1"/>
  <c r="E33" i="110" s="1"/>
  <c r="D7" i="110"/>
  <c r="D31" i="110" s="1"/>
  <c r="D33" i="110" s="1"/>
  <c r="C7" i="110"/>
  <c r="C31" i="110" s="1"/>
  <c r="C33" i="110" s="1"/>
  <c r="E15" i="14" l="1"/>
  <c r="D15" i="14"/>
  <c r="E17" i="14" l="1"/>
  <c r="G15" i="14"/>
  <c r="F15" i="14"/>
  <c r="I18" i="103" l="1"/>
  <c r="M18" i="103"/>
  <c r="F20" i="2" l="1"/>
  <c r="G20" i="2"/>
  <c r="H20" i="2"/>
  <c r="I20" i="2"/>
  <c r="E20" i="2"/>
  <c r="H20" i="90" l="1"/>
  <c r="J20" i="90" l="1"/>
  <c r="H48" i="90"/>
  <c r="E60" i="102"/>
  <c r="F60" i="102"/>
  <c r="I60" i="102"/>
  <c r="J60" i="102"/>
  <c r="M60" i="102"/>
  <c r="N60" i="102"/>
  <c r="Q60" i="102"/>
  <c r="R60" i="102"/>
  <c r="U60" i="102"/>
  <c r="V60" i="102"/>
  <c r="D60" i="102"/>
  <c r="G54" i="102"/>
  <c r="G55" i="102"/>
  <c r="E39" i="102"/>
  <c r="F39" i="102"/>
  <c r="I39" i="102"/>
  <c r="J39" i="102"/>
  <c r="M39" i="102"/>
  <c r="N39" i="102"/>
  <c r="Q39" i="102"/>
  <c r="R39" i="102"/>
  <c r="U39" i="102"/>
  <c r="V39" i="102"/>
  <c r="V40" i="64" s="1"/>
  <c r="D39" i="102"/>
  <c r="E21" i="102"/>
  <c r="F21" i="102"/>
  <c r="I21" i="102"/>
  <c r="J21" i="102"/>
  <c r="M21" i="102"/>
  <c r="N21" i="102"/>
  <c r="Q21" i="102"/>
  <c r="R21" i="102"/>
  <c r="U21" i="102"/>
  <c r="V21" i="102"/>
  <c r="D21" i="102"/>
  <c r="G17" i="102"/>
  <c r="G35" i="102"/>
  <c r="G34" i="102"/>
  <c r="O53" i="103"/>
  <c r="P53" i="103" s="1"/>
  <c r="S53" i="103" s="1"/>
  <c r="T53" i="103" s="1"/>
  <c r="W53" i="103" s="1"/>
  <c r="G52" i="103"/>
  <c r="G53" i="103"/>
  <c r="H53" i="103" s="1"/>
  <c r="K53" i="103" s="1"/>
  <c r="G51" i="103"/>
  <c r="G35" i="103"/>
  <c r="H35" i="103" s="1"/>
  <c r="G36" i="103"/>
  <c r="G34" i="103"/>
  <c r="E38" i="103"/>
  <c r="I38" i="103"/>
  <c r="M38" i="103"/>
  <c r="G15" i="103"/>
  <c r="K15" i="103" s="1"/>
  <c r="G16" i="103"/>
  <c r="H16" i="103" s="1"/>
  <c r="K16" i="103" s="1"/>
  <c r="G14" i="103"/>
  <c r="G15" i="102"/>
  <c r="G16" i="102"/>
  <c r="V41" i="64" l="1"/>
  <c r="W40" i="64"/>
  <c r="H51" i="103"/>
  <c r="G55" i="103"/>
  <c r="K20" i="90"/>
  <c r="K48" i="90" s="1"/>
  <c r="J48" i="90"/>
  <c r="H35" i="102"/>
  <c r="H16" i="102"/>
  <c r="H34" i="102"/>
  <c r="O16" i="103"/>
  <c r="L15" i="103"/>
  <c r="H14" i="103"/>
  <c r="G18" i="103"/>
  <c r="H17" i="102"/>
  <c r="H34" i="103"/>
  <c r="H54" i="102"/>
  <c r="H55" i="102"/>
  <c r="K55" i="102" s="1"/>
  <c r="L55" i="102" s="1"/>
  <c r="O55" i="102" s="1"/>
  <c r="P55" i="102" s="1"/>
  <c r="S55" i="102" s="1"/>
  <c r="T55" i="102" s="1"/>
  <c r="W55" i="102" s="1"/>
  <c r="K35" i="102"/>
  <c r="G38" i="103"/>
  <c r="H36" i="103"/>
  <c r="H15" i="102"/>
  <c r="K52" i="103"/>
  <c r="L52" i="103" s="1"/>
  <c r="O52" i="103" s="1"/>
  <c r="P52" i="103" s="1"/>
  <c r="S52" i="103" s="1"/>
  <c r="T52" i="103" s="1"/>
  <c r="W52" i="103" s="1"/>
  <c r="H27" i="104"/>
  <c r="G27" i="104"/>
  <c r="F27" i="104"/>
  <c r="E27" i="104"/>
  <c r="D27" i="104"/>
  <c r="H20" i="104"/>
  <c r="G20" i="104"/>
  <c r="F20" i="104"/>
  <c r="E20" i="104"/>
  <c r="D20" i="104"/>
  <c r="P8" i="105"/>
  <c r="K51" i="103" l="1"/>
  <c r="H55" i="103"/>
  <c r="H18" i="103"/>
  <c r="K14" i="103"/>
  <c r="L14" i="103" s="1"/>
  <c r="K34" i="102"/>
  <c r="K16" i="102"/>
  <c r="P16" i="103"/>
  <c r="O15" i="103"/>
  <c r="K17" i="102"/>
  <c r="K34" i="103"/>
  <c r="K54" i="102"/>
  <c r="L35" i="102"/>
  <c r="K36" i="103"/>
  <c r="H38" i="103"/>
  <c r="K35" i="103"/>
  <c r="K15" i="102"/>
  <c r="D59" i="85"/>
  <c r="P11" i="85"/>
  <c r="P30" i="85" s="1"/>
  <c r="L51" i="103" l="1"/>
  <c r="K55" i="103"/>
  <c r="L34" i="102"/>
  <c r="K18" i="103"/>
  <c r="L18" i="103"/>
  <c r="L16" i="102"/>
  <c r="L15" i="102"/>
  <c r="S16" i="103"/>
  <c r="P15" i="103"/>
  <c r="L17" i="102"/>
  <c r="L34" i="103"/>
  <c r="K38" i="103"/>
  <c r="L54" i="102"/>
  <c r="O35" i="102"/>
  <c r="L35" i="103"/>
  <c r="L36" i="103"/>
  <c r="O14" i="103"/>
  <c r="O15" i="102"/>
  <c r="AA14" i="89"/>
  <c r="G46" i="89"/>
  <c r="S46" i="89" s="1"/>
  <c r="AE46" i="89" s="1"/>
  <c r="G42" i="89"/>
  <c r="G36" i="89"/>
  <c r="Q36" i="89" s="1"/>
  <c r="AC36" i="89" s="1"/>
  <c r="F10" i="87"/>
  <c r="F15" i="122" s="1"/>
  <c r="G10" i="87"/>
  <c r="G15" i="122" s="1"/>
  <c r="E10" i="87"/>
  <c r="E15" i="122" s="1"/>
  <c r="E18" i="122" s="1"/>
  <c r="F11" i="122" s="1"/>
  <c r="F18" i="122" s="1"/>
  <c r="G11" i="122" s="1"/>
  <c r="G18" i="122" s="1"/>
  <c r="H11" i="122" s="1"/>
  <c r="H18" i="122" s="1"/>
  <c r="G24" i="89"/>
  <c r="P24" i="89" s="1"/>
  <c r="AA15" i="89"/>
  <c r="O15" i="89"/>
  <c r="O51" i="103" l="1"/>
  <c r="L55" i="103"/>
  <c r="O18" i="103"/>
  <c r="O34" i="102"/>
  <c r="O16" i="102"/>
  <c r="P15" i="102"/>
  <c r="G52" i="89"/>
  <c r="T16" i="103"/>
  <c r="S15" i="103"/>
  <c r="O17" i="102"/>
  <c r="O34" i="103"/>
  <c r="L38" i="103"/>
  <c r="O54" i="102"/>
  <c r="P35" i="102"/>
  <c r="P14" i="103"/>
  <c r="O36" i="103"/>
  <c r="O35" i="103"/>
  <c r="E11" i="2"/>
  <c r="F11" i="2"/>
  <c r="G11" i="2"/>
  <c r="H11" i="2"/>
  <c r="I11" i="2"/>
  <c r="G66" i="88"/>
  <c r="G99" i="88" s="1"/>
  <c r="E10" i="113"/>
  <c r="E8" i="113"/>
  <c r="E12" i="87"/>
  <c r="F12" i="87"/>
  <c r="G12" i="87"/>
  <c r="H12" i="87"/>
  <c r="D12" i="87"/>
  <c r="Q52" i="89"/>
  <c r="S52" i="89"/>
  <c r="T52" i="89"/>
  <c r="U52" i="89"/>
  <c r="V52" i="89"/>
  <c r="W52" i="89"/>
  <c r="X52" i="89"/>
  <c r="Y52" i="89"/>
  <c r="Z52" i="89"/>
  <c r="AA52" i="89"/>
  <c r="AC52" i="89"/>
  <c r="AE52" i="89"/>
  <c r="AF52" i="89"/>
  <c r="O52" i="89"/>
  <c r="R42" i="89"/>
  <c r="AD42" i="89" s="1"/>
  <c r="AD52" i="89" s="1"/>
  <c r="AB24" i="89"/>
  <c r="AB52" i="89" s="1"/>
  <c r="M52" i="88"/>
  <c r="H14" i="87" l="1"/>
  <c r="H33" i="3"/>
  <c r="H34" i="3" s="1"/>
  <c r="G14" i="87"/>
  <c r="G33" i="3"/>
  <c r="G34" i="3" s="1"/>
  <c r="F14" i="87"/>
  <c r="F33" i="3"/>
  <c r="F34" i="3" s="1"/>
  <c r="E14" i="87"/>
  <c r="E33" i="3"/>
  <c r="E34" i="3" s="1"/>
  <c r="P51" i="103"/>
  <c r="O55" i="103"/>
  <c r="E16" i="122"/>
  <c r="F16" i="122"/>
  <c r="E12" i="122"/>
  <c r="D16" i="122"/>
  <c r="P34" i="102"/>
  <c r="P18" i="103"/>
  <c r="P16" i="102"/>
  <c r="S15" i="102"/>
  <c r="W16" i="103"/>
  <c r="T15" i="103"/>
  <c r="P17" i="102"/>
  <c r="P34" i="103"/>
  <c r="P54" i="102"/>
  <c r="S54" i="102" s="1"/>
  <c r="S35" i="102"/>
  <c r="O38" i="103"/>
  <c r="P35" i="103"/>
  <c r="S35" i="103" s="1"/>
  <c r="P36" i="103"/>
  <c r="S36" i="103" s="1"/>
  <c r="S14" i="103"/>
  <c r="S18" i="103" s="1"/>
  <c r="R52" i="89"/>
  <c r="D14" i="87"/>
  <c r="E9" i="113"/>
  <c r="P52" i="89"/>
  <c r="E36" i="3" l="1"/>
  <c r="F32" i="3" s="1"/>
  <c r="S51" i="103"/>
  <c r="P55" i="103"/>
  <c r="L20" i="90"/>
  <c r="K16" i="122"/>
  <c r="D17" i="122"/>
  <c r="D19" i="122" s="1"/>
  <c r="D21" i="122" s="1"/>
  <c r="D23" i="122" s="1"/>
  <c r="E12" i="2" s="1"/>
  <c r="F12" i="122"/>
  <c r="E13" i="122"/>
  <c r="S34" i="102"/>
  <c r="S16" i="102"/>
  <c r="T15" i="102"/>
  <c r="W15" i="103"/>
  <c r="S17" i="102"/>
  <c r="S34" i="103"/>
  <c r="S38" i="103" s="1"/>
  <c r="P38" i="103"/>
  <c r="T54" i="102"/>
  <c r="T35" i="102"/>
  <c r="T14" i="103"/>
  <c r="T18" i="103" s="1"/>
  <c r="E11" i="113"/>
  <c r="E12" i="113"/>
  <c r="F36" i="3" l="1"/>
  <c r="G32" i="3" s="1"/>
  <c r="T51" i="103"/>
  <c r="S55" i="103"/>
  <c r="G12" i="122"/>
  <c r="H12" i="122" s="1"/>
  <c r="F13" i="122"/>
  <c r="E17" i="122"/>
  <c r="E19" i="122" s="1"/>
  <c r="E21" i="122" s="1"/>
  <c r="E23" i="122" s="1"/>
  <c r="F12" i="2" s="1"/>
  <c r="N20" i="90"/>
  <c r="T34" i="102"/>
  <c r="T16" i="102"/>
  <c r="W15" i="102"/>
  <c r="T34" i="103"/>
  <c r="T17" i="102"/>
  <c r="W54" i="102"/>
  <c r="W35" i="102"/>
  <c r="T36" i="103"/>
  <c r="W36" i="103" s="1"/>
  <c r="W14" i="103"/>
  <c r="W18" i="103" s="1"/>
  <c r="T35" i="103"/>
  <c r="W35" i="103" s="1"/>
  <c r="P67" i="112"/>
  <c r="P33" i="112"/>
  <c r="P34" i="112"/>
  <c r="P35" i="112"/>
  <c r="G53" i="102"/>
  <c r="G33" i="102"/>
  <c r="U319" i="94"/>
  <c r="T318" i="94"/>
  <c r="S317" i="94"/>
  <c r="R316" i="94"/>
  <c r="Q315" i="94"/>
  <c r="P314" i="94"/>
  <c r="O313" i="94"/>
  <c r="N312" i="94"/>
  <c r="M311" i="94"/>
  <c r="L310" i="94"/>
  <c r="K309" i="94"/>
  <c r="J308" i="94"/>
  <c r="I307" i="94"/>
  <c r="H306" i="94"/>
  <c r="G305" i="94"/>
  <c r="F304" i="94"/>
  <c r="AE288" i="94"/>
  <c r="AG288" i="94" s="1"/>
  <c r="AE287" i="94"/>
  <c r="AG287" i="94" s="1"/>
  <c r="C304" i="94"/>
  <c r="D304" i="94"/>
  <c r="C305" i="94"/>
  <c r="D305" i="94"/>
  <c r="C306" i="94"/>
  <c r="D306" i="94"/>
  <c r="C307" i="94"/>
  <c r="D307" i="94"/>
  <c r="C308" i="94"/>
  <c r="D308" i="94"/>
  <c r="C309" i="94"/>
  <c r="D309" i="94"/>
  <c r="C310" i="94"/>
  <c r="D310" i="94"/>
  <c r="C311" i="94"/>
  <c r="D311" i="94"/>
  <c r="C312" i="94"/>
  <c r="D312" i="94"/>
  <c r="C313" i="94"/>
  <c r="D313" i="94"/>
  <c r="C314" i="94"/>
  <c r="D314" i="94"/>
  <c r="C315" i="94"/>
  <c r="D315" i="94"/>
  <c r="C316" i="94"/>
  <c r="D316" i="94"/>
  <c r="C317" i="94"/>
  <c r="D317" i="94"/>
  <c r="C318" i="94"/>
  <c r="D318" i="94"/>
  <c r="C319" i="94"/>
  <c r="D319" i="94"/>
  <c r="C320" i="94"/>
  <c r="D320" i="94"/>
  <c r="D321" i="94"/>
  <c r="D322" i="94"/>
  <c r="D323" i="94"/>
  <c r="D324" i="94"/>
  <c r="D325" i="94"/>
  <c r="D326" i="94"/>
  <c r="D327" i="94"/>
  <c r="D303" i="94"/>
  <c r="C303" i="94"/>
  <c r="AC294" i="94"/>
  <c r="AB293" i="94"/>
  <c r="AA292" i="94"/>
  <c r="Z291" i="94"/>
  <c r="Y290" i="94"/>
  <c r="X289" i="94"/>
  <c r="AD229" i="94"/>
  <c r="AE229" i="94" s="1"/>
  <c r="AC228" i="94"/>
  <c r="AE228" i="94" s="1"/>
  <c r="AB227" i="94"/>
  <c r="AE227" i="94" s="1"/>
  <c r="AA226" i="94"/>
  <c r="AE226" i="94" s="1"/>
  <c r="Z225" i="94"/>
  <c r="AE225" i="94" s="1"/>
  <c r="Y224" i="94"/>
  <c r="AE224" i="94" s="1"/>
  <c r="X223" i="94"/>
  <c r="AE223" i="94" s="1"/>
  <c r="W222" i="94"/>
  <c r="V221" i="94"/>
  <c r="C290" i="94"/>
  <c r="C291" i="94" s="1"/>
  <c r="C292" i="94" s="1"/>
  <c r="E39" i="3"/>
  <c r="F39" i="3"/>
  <c r="G39" i="3"/>
  <c r="G42" i="3" s="1"/>
  <c r="H39" i="3"/>
  <c r="H42" i="3" s="1"/>
  <c r="D39" i="3"/>
  <c r="F13" i="101"/>
  <c r="G13" i="101"/>
  <c r="H13" i="101"/>
  <c r="I13" i="101"/>
  <c r="E13" i="101"/>
  <c r="D41" i="3" l="1"/>
  <c r="D42" i="3"/>
  <c r="F42" i="3"/>
  <c r="F41" i="3"/>
  <c r="F43" i="3" s="1"/>
  <c r="E41" i="3"/>
  <c r="E42" i="3"/>
  <c r="C293" i="94"/>
  <c r="C294" i="94" s="1"/>
  <c r="V320" i="94"/>
  <c r="AE320" i="94" s="1"/>
  <c r="AG320" i="94" s="1"/>
  <c r="AE221" i="94"/>
  <c r="AG221" i="94" s="1"/>
  <c r="W321" i="94"/>
  <c r="AE321" i="94" s="1"/>
  <c r="AE222" i="94"/>
  <c r="X322" i="94"/>
  <c r="AE322" i="94" s="1"/>
  <c r="AE289" i="94"/>
  <c r="AG289" i="94" s="1"/>
  <c r="Y323" i="94"/>
  <c r="AE323" i="94" s="1"/>
  <c r="AE290" i="94"/>
  <c r="AG290" i="94" s="1"/>
  <c r="Z324" i="94"/>
  <c r="AE324" i="94" s="1"/>
  <c r="AE291" i="94"/>
  <c r="AG291" i="94" s="1"/>
  <c r="AA325" i="94"/>
  <c r="AE325" i="94" s="1"/>
  <c r="AE292" i="94"/>
  <c r="AG292" i="94" s="1"/>
  <c r="AB326" i="94"/>
  <c r="AE326" i="94" s="1"/>
  <c r="AE293" i="94"/>
  <c r="AG293" i="94" s="1"/>
  <c r="AC327" i="94"/>
  <c r="AE327" i="94" s="1"/>
  <c r="AE294" i="94"/>
  <c r="G36" i="3"/>
  <c r="H32" i="3" s="1"/>
  <c r="G41" i="3"/>
  <c r="G43" i="3" s="1"/>
  <c r="W51" i="103"/>
  <c r="W55" i="103" s="1"/>
  <c r="T55" i="103"/>
  <c r="W34" i="103"/>
  <c r="W38" i="103" s="1"/>
  <c r="T38" i="103"/>
  <c r="F17" i="122"/>
  <c r="F19" i="122" s="1"/>
  <c r="F21" i="122" s="1"/>
  <c r="F23" i="122" s="1"/>
  <c r="G12" i="2" s="1"/>
  <c r="G13" i="122"/>
  <c r="G16" i="122" s="1"/>
  <c r="W34" i="102"/>
  <c r="W16" i="102"/>
  <c r="G16" i="2"/>
  <c r="D43" i="3"/>
  <c r="W17" i="102"/>
  <c r="H33" i="102"/>
  <c r="H53" i="102"/>
  <c r="G52" i="102"/>
  <c r="G14" i="102"/>
  <c r="G32" i="102"/>
  <c r="D230" i="94"/>
  <c r="C222" i="94"/>
  <c r="H149" i="85"/>
  <c r="G149" i="85"/>
  <c r="F149" i="85"/>
  <c r="E149" i="85"/>
  <c r="D149" i="85"/>
  <c r="H148" i="85"/>
  <c r="G148" i="85"/>
  <c r="F148" i="85"/>
  <c r="E148" i="85"/>
  <c r="D148" i="85"/>
  <c r="H147" i="85"/>
  <c r="G147" i="85"/>
  <c r="F147" i="85"/>
  <c r="E147" i="85"/>
  <c r="D147" i="85"/>
  <c r="H146" i="85"/>
  <c r="G146" i="85"/>
  <c r="F146" i="85"/>
  <c r="E146" i="85"/>
  <c r="D146" i="85"/>
  <c r="H145" i="85"/>
  <c r="G145" i="85"/>
  <c r="F145" i="85"/>
  <c r="E145" i="85"/>
  <c r="D145" i="85"/>
  <c r="H144" i="85"/>
  <c r="G144" i="85"/>
  <c r="F144" i="85"/>
  <c r="E144" i="85"/>
  <c r="D144" i="85"/>
  <c r="H143" i="85"/>
  <c r="G143" i="85"/>
  <c r="F143" i="85"/>
  <c r="E143" i="85"/>
  <c r="D143" i="85"/>
  <c r="H142" i="85"/>
  <c r="G142" i="85"/>
  <c r="F142" i="85"/>
  <c r="E142" i="85"/>
  <c r="D142" i="85"/>
  <c r="H141" i="85"/>
  <c r="G141" i="85"/>
  <c r="F141" i="85"/>
  <c r="E141" i="85"/>
  <c r="D141" i="85"/>
  <c r="H140" i="85"/>
  <c r="G140" i="85"/>
  <c r="F140" i="85"/>
  <c r="E140" i="85"/>
  <c r="D140" i="85"/>
  <c r="H139" i="85"/>
  <c r="G139" i="85"/>
  <c r="F139" i="85"/>
  <c r="E139" i="85"/>
  <c r="D139" i="85"/>
  <c r="H138" i="85"/>
  <c r="G138" i="85"/>
  <c r="F138" i="85"/>
  <c r="E138" i="85"/>
  <c r="D138" i="85"/>
  <c r="H137" i="85"/>
  <c r="G137" i="85"/>
  <c r="F137" i="85"/>
  <c r="E137" i="85"/>
  <c r="D137" i="85"/>
  <c r="H136" i="85"/>
  <c r="G136" i="85"/>
  <c r="F136" i="85"/>
  <c r="E136" i="85"/>
  <c r="D136" i="85"/>
  <c r="H135" i="85"/>
  <c r="G135" i="85"/>
  <c r="F135" i="85"/>
  <c r="E135" i="85"/>
  <c r="D135" i="85"/>
  <c r="H134" i="85"/>
  <c r="G134" i="85"/>
  <c r="F134" i="85"/>
  <c r="E134" i="85"/>
  <c r="D134" i="85"/>
  <c r="H133" i="85"/>
  <c r="H152" i="85" s="1"/>
  <c r="G133" i="85"/>
  <c r="G152" i="85" s="1"/>
  <c r="F133" i="85"/>
  <c r="F152" i="85" s="1"/>
  <c r="E133" i="85"/>
  <c r="E152" i="85" s="1"/>
  <c r="D133" i="85"/>
  <c r="D152" i="85" s="1"/>
  <c r="P109" i="85"/>
  <c r="P128" i="85" s="1"/>
  <c r="P85" i="85"/>
  <c r="P104" i="85" s="1"/>
  <c r="O73" i="85"/>
  <c r="N73" i="85"/>
  <c r="M73" i="85"/>
  <c r="L73" i="85"/>
  <c r="K73" i="85"/>
  <c r="J73" i="85"/>
  <c r="I73" i="85"/>
  <c r="H73" i="85"/>
  <c r="G73" i="85"/>
  <c r="F73" i="85"/>
  <c r="E73" i="85"/>
  <c r="D73" i="85"/>
  <c r="O72" i="85"/>
  <c r="N72" i="85"/>
  <c r="M72" i="85"/>
  <c r="L72" i="85"/>
  <c r="K72" i="85"/>
  <c r="J72" i="85"/>
  <c r="I72" i="85"/>
  <c r="H72" i="85"/>
  <c r="G72" i="85"/>
  <c r="F72" i="85"/>
  <c r="E72" i="85"/>
  <c r="D72" i="85"/>
  <c r="O71" i="85"/>
  <c r="N71" i="85"/>
  <c r="M71" i="85"/>
  <c r="L71" i="85"/>
  <c r="K71" i="85"/>
  <c r="J71" i="85"/>
  <c r="I71" i="85"/>
  <c r="H71" i="85"/>
  <c r="G71" i="85"/>
  <c r="F71" i="85"/>
  <c r="E71" i="85"/>
  <c r="D71" i="85"/>
  <c r="O70" i="85"/>
  <c r="N70" i="85"/>
  <c r="M70" i="85"/>
  <c r="L70" i="85"/>
  <c r="K70" i="85"/>
  <c r="J70" i="85"/>
  <c r="I70" i="85"/>
  <c r="H70" i="85"/>
  <c r="G70" i="85"/>
  <c r="F70" i="85"/>
  <c r="E70" i="85"/>
  <c r="D70" i="85"/>
  <c r="O69" i="85"/>
  <c r="N69" i="85"/>
  <c r="M69" i="85"/>
  <c r="L69" i="85"/>
  <c r="K69" i="85"/>
  <c r="J69" i="85"/>
  <c r="I69" i="85"/>
  <c r="H69" i="85"/>
  <c r="G69" i="85"/>
  <c r="F69" i="85"/>
  <c r="E69" i="85"/>
  <c r="D69" i="85"/>
  <c r="O68" i="85"/>
  <c r="N68" i="85"/>
  <c r="M68" i="85"/>
  <c r="L68" i="85"/>
  <c r="K68" i="85"/>
  <c r="J68" i="85"/>
  <c r="I68" i="85"/>
  <c r="H68" i="85"/>
  <c r="G68" i="85"/>
  <c r="F68" i="85"/>
  <c r="E68" i="85"/>
  <c r="D68" i="85"/>
  <c r="O67" i="85"/>
  <c r="N67" i="85"/>
  <c r="M67" i="85"/>
  <c r="L67" i="85"/>
  <c r="K67" i="85"/>
  <c r="J67" i="85"/>
  <c r="I67" i="85"/>
  <c r="H67" i="85"/>
  <c r="G67" i="85"/>
  <c r="F67" i="85"/>
  <c r="E67" i="85"/>
  <c r="D67" i="85"/>
  <c r="O66" i="85"/>
  <c r="N66" i="85"/>
  <c r="M66" i="85"/>
  <c r="L66" i="85"/>
  <c r="K66" i="85"/>
  <c r="J66" i="85"/>
  <c r="I66" i="85"/>
  <c r="H66" i="85"/>
  <c r="G66" i="85"/>
  <c r="F66" i="85"/>
  <c r="E66" i="85"/>
  <c r="D66" i="85"/>
  <c r="O65" i="85"/>
  <c r="N65" i="85"/>
  <c r="M65" i="85"/>
  <c r="L65" i="85"/>
  <c r="K65" i="85"/>
  <c r="J65" i="85"/>
  <c r="I65" i="85"/>
  <c r="H65" i="85"/>
  <c r="G65" i="85"/>
  <c r="F65" i="85"/>
  <c r="E65" i="85"/>
  <c r="D65" i="85"/>
  <c r="O64" i="85"/>
  <c r="N64" i="85"/>
  <c r="M64" i="85"/>
  <c r="L64" i="85"/>
  <c r="K64" i="85"/>
  <c r="J64" i="85"/>
  <c r="I64" i="85"/>
  <c r="H64" i="85"/>
  <c r="G64" i="85"/>
  <c r="F64" i="85"/>
  <c r="E64" i="85"/>
  <c r="D64" i="85"/>
  <c r="O63" i="85"/>
  <c r="N63" i="85"/>
  <c r="M63" i="85"/>
  <c r="L63" i="85"/>
  <c r="K63" i="85"/>
  <c r="J63" i="85"/>
  <c r="I63" i="85"/>
  <c r="H63" i="85"/>
  <c r="G63" i="85"/>
  <c r="F63" i="85"/>
  <c r="E63" i="85"/>
  <c r="D63" i="85"/>
  <c r="O62" i="85"/>
  <c r="N62" i="85"/>
  <c r="M62" i="85"/>
  <c r="L62" i="85"/>
  <c r="K62" i="85"/>
  <c r="J62" i="85"/>
  <c r="I62" i="85"/>
  <c r="H62" i="85"/>
  <c r="G62" i="85"/>
  <c r="F62" i="85"/>
  <c r="E62" i="85"/>
  <c r="D62" i="85"/>
  <c r="O61" i="85"/>
  <c r="N61" i="85"/>
  <c r="M61" i="85"/>
  <c r="L61" i="85"/>
  <c r="K61" i="85"/>
  <c r="J61" i="85"/>
  <c r="I61" i="85"/>
  <c r="H61" i="85"/>
  <c r="G61" i="85"/>
  <c r="F61" i="85"/>
  <c r="E61" i="85"/>
  <c r="D61" i="85"/>
  <c r="O60" i="85"/>
  <c r="N60" i="85"/>
  <c r="M60" i="85"/>
  <c r="L60" i="85"/>
  <c r="K60" i="85"/>
  <c r="J60" i="85"/>
  <c r="I60" i="85"/>
  <c r="H60" i="85"/>
  <c r="G60" i="85"/>
  <c r="F60" i="85"/>
  <c r="E60" i="85"/>
  <c r="D60" i="85"/>
  <c r="O59" i="85"/>
  <c r="O78" i="85" s="1"/>
  <c r="N59" i="85"/>
  <c r="N78" i="85" s="1"/>
  <c r="M59" i="85"/>
  <c r="M78" i="85" s="1"/>
  <c r="L59" i="85"/>
  <c r="L78" i="85" s="1"/>
  <c r="K59" i="85"/>
  <c r="K78" i="85" s="1"/>
  <c r="J59" i="85"/>
  <c r="J78" i="85" s="1"/>
  <c r="I59" i="85"/>
  <c r="I78" i="85" s="1"/>
  <c r="H59" i="85"/>
  <c r="H78" i="85" s="1"/>
  <c r="G59" i="85"/>
  <c r="G78" i="85" s="1"/>
  <c r="F59" i="85"/>
  <c r="F78" i="85" s="1"/>
  <c r="E59" i="85"/>
  <c r="E78" i="85" s="1"/>
  <c r="P60" i="85" l="1"/>
  <c r="Q60" i="85"/>
  <c r="D78" i="85"/>
  <c r="P61" i="85"/>
  <c r="Q61" i="85"/>
  <c r="P62" i="85"/>
  <c r="Q62" i="85"/>
  <c r="P63" i="85"/>
  <c r="Q63" i="85"/>
  <c r="P64" i="85"/>
  <c r="Q64" i="85"/>
  <c r="P65" i="85"/>
  <c r="Q65" i="85"/>
  <c r="P66" i="85"/>
  <c r="Q66" i="85"/>
  <c r="P67" i="85"/>
  <c r="Q67" i="85"/>
  <c r="P68" i="85"/>
  <c r="Q68" i="85"/>
  <c r="P69" i="85"/>
  <c r="Q69" i="85"/>
  <c r="P70" i="85"/>
  <c r="Q70" i="85"/>
  <c r="P71" i="85"/>
  <c r="Q71" i="85"/>
  <c r="P72" i="85"/>
  <c r="Q72" i="85"/>
  <c r="P73" i="85"/>
  <c r="Q73" i="85"/>
  <c r="AG222" i="94"/>
  <c r="C321" i="94"/>
  <c r="C223" i="94"/>
  <c r="H41" i="3"/>
  <c r="H43" i="3" s="1"/>
  <c r="H36" i="3"/>
  <c r="AG321" i="94"/>
  <c r="AG294" i="94"/>
  <c r="C295" i="94"/>
  <c r="D295" i="94" s="1"/>
  <c r="E43" i="3"/>
  <c r="Q59" i="85"/>
  <c r="G17" i="122"/>
  <c r="G21" i="102"/>
  <c r="G39" i="102"/>
  <c r="G60" i="102"/>
  <c r="H32" i="102"/>
  <c r="H52" i="102"/>
  <c r="K52" i="102" s="1"/>
  <c r="K33" i="102"/>
  <c r="K53" i="102"/>
  <c r="H14" i="102"/>
  <c r="I140" i="85"/>
  <c r="I138" i="85"/>
  <c r="I134" i="85"/>
  <c r="I142" i="85"/>
  <c r="I146" i="85"/>
  <c r="I136" i="85"/>
  <c r="I144" i="85"/>
  <c r="I148" i="85"/>
  <c r="I133" i="85"/>
  <c r="I135" i="85"/>
  <c r="I137" i="85"/>
  <c r="I139" i="85"/>
  <c r="I141" i="85"/>
  <c r="I143" i="85"/>
  <c r="I145" i="85"/>
  <c r="I147" i="85"/>
  <c r="I149" i="85"/>
  <c r="P59" i="85"/>
  <c r="P78" i="85" s="1"/>
  <c r="P149" i="85" l="1"/>
  <c r="Q149" i="85"/>
  <c r="P147" i="85"/>
  <c r="Q147" i="85"/>
  <c r="P145" i="85"/>
  <c r="Q145" i="85"/>
  <c r="P143" i="85"/>
  <c r="Q143" i="85"/>
  <c r="P141" i="85"/>
  <c r="Q141" i="85"/>
  <c r="P139" i="85"/>
  <c r="Q139" i="85"/>
  <c r="P137" i="85"/>
  <c r="Q137" i="85"/>
  <c r="P135" i="85"/>
  <c r="Q135" i="85"/>
  <c r="P133" i="85"/>
  <c r="I152" i="85"/>
  <c r="P148" i="85"/>
  <c r="Q148" i="85"/>
  <c r="P144" i="85"/>
  <c r="Q144" i="85"/>
  <c r="P136" i="85"/>
  <c r="Q136" i="85"/>
  <c r="P146" i="85"/>
  <c r="Q146" i="85"/>
  <c r="P142" i="85"/>
  <c r="Q142" i="85"/>
  <c r="P134" i="85"/>
  <c r="Q134" i="85"/>
  <c r="P138" i="85"/>
  <c r="Q138" i="85"/>
  <c r="P140" i="85"/>
  <c r="Q140" i="85"/>
  <c r="D18" i="115"/>
  <c r="D328" i="94"/>
  <c r="AD295" i="94"/>
  <c r="AG223" i="94"/>
  <c r="C322" i="94"/>
  <c r="AG322" i="94" s="1"/>
  <c r="C224" i="94"/>
  <c r="D14" i="115"/>
  <c r="D24" i="115"/>
  <c r="D24" i="86" s="1"/>
  <c r="F24" i="86" s="1"/>
  <c r="D23" i="115"/>
  <c r="F23" i="115" s="1"/>
  <c r="D15" i="115"/>
  <c r="Q133" i="85"/>
  <c r="Q152" i="85" s="1"/>
  <c r="Q78" i="85"/>
  <c r="D19" i="115"/>
  <c r="D19" i="86" s="1"/>
  <c r="F19" i="86" s="1"/>
  <c r="F15" i="115"/>
  <c r="D15" i="86"/>
  <c r="F15" i="86" s="1"/>
  <c r="F24" i="115"/>
  <c r="D21" i="115"/>
  <c r="D16" i="115"/>
  <c r="D11" i="115"/>
  <c r="D27" i="115"/>
  <c r="F14" i="115"/>
  <c r="D14" i="86"/>
  <c r="F14" i="86" s="1"/>
  <c r="D25" i="115"/>
  <c r="F18" i="115"/>
  <c r="D18" i="86"/>
  <c r="F18" i="86" s="1"/>
  <c r="D20" i="115"/>
  <c r="D12" i="115"/>
  <c r="D22" i="115"/>
  <c r="D17" i="115"/>
  <c r="D13" i="115"/>
  <c r="D26" i="115"/>
  <c r="H13" i="122"/>
  <c r="H19" i="122" s="1"/>
  <c r="H21" i="122" s="1"/>
  <c r="H23" i="122" s="1"/>
  <c r="I12" i="2" s="1"/>
  <c r="G19" i="122"/>
  <c r="G21" i="122" s="1"/>
  <c r="G23" i="122" s="1"/>
  <c r="H12" i="2" s="1"/>
  <c r="H21" i="102"/>
  <c r="H39" i="102"/>
  <c r="K32" i="102"/>
  <c r="H60" i="102"/>
  <c r="K60" i="102"/>
  <c r="L53" i="102"/>
  <c r="L33" i="102"/>
  <c r="L52" i="102"/>
  <c r="K14" i="102"/>
  <c r="P35" i="85"/>
  <c r="P54" i="85" s="1"/>
  <c r="AG224" i="94" l="1"/>
  <c r="C323" i="94"/>
  <c r="AG323" i="94" s="1"/>
  <c r="C225" i="94"/>
  <c r="AD328" i="94"/>
  <c r="AE328" i="94" s="1"/>
  <c r="AE295" i="94"/>
  <c r="AG295" i="94" s="1"/>
  <c r="P152" i="85"/>
  <c r="D23" i="86"/>
  <c r="F23" i="86" s="1"/>
  <c r="D12" i="86"/>
  <c r="F12" i="86" s="1"/>
  <c r="D11" i="86"/>
  <c r="F19" i="115"/>
  <c r="H19" i="115" s="1"/>
  <c r="D30" i="115"/>
  <c r="E19" i="115" s="1"/>
  <c r="F11" i="115"/>
  <c r="H23" i="86"/>
  <c r="F21" i="115"/>
  <c r="D21" i="86"/>
  <c r="F21" i="86" s="1"/>
  <c r="F20" i="115"/>
  <c r="D20" i="86"/>
  <c r="F20" i="86" s="1"/>
  <c r="H18" i="115"/>
  <c r="H24" i="86"/>
  <c r="F16" i="115"/>
  <c r="D16" i="86"/>
  <c r="F16" i="86" s="1"/>
  <c r="F26" i="115"/>
  <c r="D26" i="86"/>
  <c r="F26" i="86" s="1"/>
  <c r="F25" i="115"/>
  <c r="D25" i="86"/>
  <c r="F25" i="86" s="1"/>
  <c r="H24" i="115"/>
  <c r="F17" i="115"/>
  <c r="D17" i="86"/>
  <c r="F17" i="86" s="1"/>
  <c r="H18" i="86"/>
  <c r="F13" i="115"/>
  <c r="D13" i="86"/>
  <c r="F13" i="86" s="1"/>
  <c r="H14" i="86"/>
  <c r="F22" i="115"/>
  <c r="D22" i="86"/>
  <c r="F22" i="86" s="1"/>
  <c r="H19" i="86"/>
  <c r="H15" i="86"/>
  <c r="F12" i="115"/>
  <c r="H14" i="115"/>
  <c r="H23" i="115"/>
  <c r="F27" i="115"/>
  <c r="D27" i="86"/>
  <c r="F27" i="86" s="1"/>
  <c r="H15" i="115"/>
  <c r="L48" i="90"/>
  <c r="K21" i="102"/>
  <c r="K39" i="102"/>
  <c r="L32" i="102"/>
  <c r="L60" i="102"/>
  <c r="O33" i="102"/>
  <c r="O53" i="102"/>
  <c r="O52" i="102"/>
  <c r="L14" i="102"/>
  <c r="H19" i="2"/>
  <c r="G19" i="2"/>
  <c r="F19" i="2"/>
  <c r="E19" i="2"/>
  <c r="I16" i="2"/>
  <c r="H16" i="2"/>
  <c r="F16" i="2"/>
  <c r="E16" i="2"/>
  <c r="AG225" i="94" l="1"/>
  <c r="C324" i="94"/>
  <c r="AG324" i="94" s="1"/>
  <c r="C226" i="94"/>
  <c r="E16" i="115"/>
  <c r="E13" i="115"/>
  <c r="E29" i="115"/>
  <c r="E28" i="115"/>
  <c r="E23" i="115"/>
  <c r="E24" i="115"/>
  <c r="E18" i="115"/>
  <c r="E15" i="115"/>
  <c r="E14" i="115"/>
  <c r="E17" i="115"/>
  <c r="E20" i="115"/>
  <c r="E22" i="115"/>
  <c r="E25" i="115"/>
  <c r="E27" i="115"/>
  <c r="E26" i="115"/>
  <c r="E21" i="115"/>
  <c r="E11" i="115"/>
  <c r="E12" i="115"/>
  <c r="F30" i="115"/>
  <c r="H20" i="86"/>
  <c r="H13" i="115"/>
  <c r="J15" i="115"/>
  <c r="H21" i="86"/>
  <c r="H26" i="115"/>
  <c r="H17" i="86"/>
  <c r="H12" i="86"/>
  <c r="H16" i="115"/>
  <c r="H13" i="86"/>
  <c r="H12" i="115"/>
  <c r="H26" i="86"/>
  <c r="H27" i="86"/>
  <c r="J19" i="115"/>
  <c r="H17" i="115"/>
  <c r="H11" i="115"/>
  <c r="F11" i="86"/>
  <c r="D30" i="86"/>
  <c r="H21" i="115"/>
  <c r="J14" i="115"/>
  <c r="H20" i="115"/>
  <c r="H27" i="115"/>
  <c r="H22" i="86"/>
  <c r="H22" i="115"/>
  <c r="J23" i="115"/>
  <c r="J24" i="115"/>
  <c r="H25" i="115"/>
  <c r="H16" i="86"/>
  <c r="H25" i="86"/>
  <c r="J18" i="115"/>
  <c r="O48" i="90"/>
  <c r="N48" i="90"/>
  <c r="O32" i="102"/>
  <c r="L21" i="102"/>
  <c r="L39" i="102"/>
  <c r="O60" i="102"/>
  <c r="P53" i="102"/>
  <c r="P33" i="102"/>
  <c r="P52" i="102"/>
  <c r="O14" i="102"/>
  <c r="H15" i="14"/>
  <c r="I19" i="2" s="1"/>
  <c r="G16" i="115" l="1"/>
  <c r="G26" i="115"/>
  <c r="AG226" i="94"/>
  <c r="C325" i="94"/>
  <c r="AG325" i="94" s="1"/>
  <c r="C227" i="94"/>
  <c r="G20" i="115"/>
  <c r="G17" i="115"/>
  <c r="G29" i="115"/>
  <c r="G28" i="115"/>
  <c r="G14" i="115"/>
  <c r="G23" i="115"/>
  <c r="G18" i="115"/>
  <c r="G24" i="115"/>
  <c r="G15" i="115"/>
  <c r="G19" i="115"/>
  <c r="G13" i="115"/>
  <c r="G12" i="115"/>
  <c r="G21" i="115"/>
  <c r="G27" i="115"/>
  <c r="G11" i="115"/>
  <c r="G22" i="115"/>
  <c r="G25" i="115"/>
  <c r="E14" i="86"/>
  <c r="E26" i="86"/>
  <c r="E17" i="86"/>
  <c r="E29" i="86"/>
  <c r="E19" i="86"/>
  <c r="E20" i="86"/>
  <c r="E15" i="86"/>
  <c r="E27" i="86"/>
  <c r="E18" i="86"/>
  <c r="E23" i="86"/>
  <c r="E11" i="86"/>
  <c r="E13" i="86"/>
  <c r="E16" i="86"/>
  <c r="E28" i="86"/>
  <c r="E21" i="86"/>
  <c r="E22" i="86"/>
  <c r="E24" i="86"/>
  <c r="E25" i="86"/>
  <c r="E12" i="86"/>
  <c r="E30" i="115"/>
  <c r="H30" i="115"/>
  <c r="I21" i="115" s="1"/>
  <c r="I26" i="115"/>
  <c r="I22" i="115"/>
  <c r="J26" i="115"/>
  <c r="J21" i="115"/>
  <c r="J12" i="115"/>
  <c r="L23" i="115"/>
  <c r="J23" i="86"/>
  <c r="L18" i="115"/>
  <c r="J18" i="86"/>
  <c r="F30" i="86"/>
  <c r="J17" i="115"/>
  <c r="J27" i="115"/>
  <c r="L24" i="115"/>
  <c r="J24" i="86"/>
  <c r="J13" i="115"/>
  <c r="J11" i="115"/>
  <c r="H11" i="86"/>
  <c r="J20" i="115"/>
  <c r="L14" i="115"/>
  <c r="J14" i="86"/>
  <c r="L19" i="115"/>
  <c r="J19" i="86"/>
  <c r="J16" i="115"/>
  <c r="J22" i="115"/>
  <c r="J25" i="115"/>
  <c r="L15" i="115"/>
  <c r="J15" i="86"/>
  <c r="P32" i="102"/>
  <c r="S33" i="64" s="1"/>
  <c r="T33" i="64" s="1"/>
  <c r="W33" i="64" s="1"/>
  <c r="O39" i="102"/>
  <c r="O21" i="102"/>
  <c r="P39" i="102"/>
  <c r="P60" i="102"/>
  <c r="S33" i="102"/>
  <c r="S53" i="102"/>
  <c r="S52" i="102"/>
  <c r="P14" i="102"/>
  <c r="G16" i="111"/>
  <c r="G18" i="111" s="1"/>
  <c r="F16" i="111"/>
  <c r="F18" i="111" s="1"/>
  <c r="E16" i="111"/>
  <c r="E18" i="111" s="1"/>
  <c r="D16" i="111"/>
  <c r="D18" i="111" s="1"/>
  <c r="C16" i="111"/>
  <c r="C18" i="111" s="1"/>
  <c r="O15" i="111"/>
  <c r="N15" i="111"/>
  <c r="M15" i="111"/>
  <c r="L15" i="111"/>
  <c r="K15" i="111"/>
  <c r="O14" i="111"/>
  <c r="N14" i="111"/>
  <c r="M14" i="111"/>
  <c r="L14" i="111"/>
  <c r="K14" i="111"/>
  <c r="O13" i="111"/>
  <c r="N13" i="111"/>
  <c r="M13" i="111"/>
  <c r="L13" i="111"/>
  <c r="K13" i="111"/>
  <c r="O12" i="111"/>
  <c r="N12" i="111"/>
  <c r="M12" i="111"/>
  <c r="L12" i="111"/>
  <c r="K12" i="111"/>
  <c r="O11" i="111"/>
  <c r="N11" i="111"/>
  <c r="M11" i="111"/>
  <c r="L11" i="111"/>
  <c r="K11" i="111"/>
  <c r="O10" i="111"/>
  <c r="N10" i="111"/>
  <c r="M10" i="111"/>
  <c r="L10" i="111"/>
  <c r="K10" i="111"/>
  <c r="O9" i="111"/>
  <c r="N9" i="111"/>
  <c r="M9" i="111"/>
  <c r="L9" i="111"/>
  <c r="K9" i="111"/>
  <c r="O8" i="111"/>
  <c r="N8" i="111"/>
  <c r="M8" i="111"/>
  <c r="L8" i="111"/>
  <c r="K8" i="111"/>
  <c r="R30" i="110"/>
  <c r="Q30" i="110"/>
  <c r="P30" i="110"/>
  <c r="O30" i="110"/>
  <c r="N30" i="110"/>
  <c r="R29" i="110"/>
  <c r="Q29" i="110"/>
  <c r="P29" i="110"/>
  <c r="O29" i="110"/>
  <c r="N29" i="110"/>
  <c r="R28" i="110"/>
  <c r="Q28" i="110"/>
  <c r="P28" i="110"/>
  <c r="O28" i="110"/>
  <c r="N28" i="110"/>
  <c r="R27" i="110"/>
  <c r="Q27" i="110"/>
  <c r="P27" i="110"/>
  <c r="O27" i="110"/>
  <c r="N27" i="110"/>
  <c r="R26" i="110"/>
  <c r="Q26" i="110"/>
  <c r="P26" i="110"/>
  <c r="O26" i="110"/>
  <c r="N26" i="110"/>
  <c r="R25" i="110"/>
  <c r="Q25" i="110"/>
  <c r="P25" i="110"/>
  <c r="O25" i="110"/>
  <c r="N25" i="110"/>
  <c r="AM25" i="110" s="1"/>
  <c r="AN25" i="110" s="1"/>
  <c r="AO25" i="110" s="1"/>
  <c r="AP25" i="110" s="1"/>
  <c r="AT25" i="110" s="1"/>
  <c r="AU25" i="110" s="1"/>
  <c r="AV25" i="110" s="1"/>
  <c r="AW25" i="110" s="1"/>
  <c r="AX25" i="110" s="1"/>
  <c r="R24" i="110"/>
  <c r="Q24" i="110"/>
  <c r="P24" i="110"/>
  <c r="O24" i="110"/>
  <c r="N24" i="110"/>
  <c r="R23" i="110"/>
  <c r="Q23" i="110"/>
  <c r="P23" i="110"/>
  <c r="O23" i="110"/>
  <c r="N23" i="110"/>
  <c r="R22" i="110"/>
  <c r="Q22" i="110"/>
  <c r="P22" i="110"/>
  <c r="O22" i="110"/>
  <c r="N22" i="110"/>
  <c r="R21" i="110"/>
  <c r="Q21" i="110"/>
  <c r="P21" i="110"/>
  <c r="O21" i="110"/>
  <c r="N21" i="110"/>
  <c r="R20" i="110"/>
  <c r="Q20" i="110"/>
  <c r="P20" i="110"/>
  <c r="O20" i="110"/>
  <c r="N20" i="110"/>
  <c r="R19" i="110"/>
  <c r="Q19" i="110"/>
  <c r="P19" i="110"/>
  <c r="O19" i="110"/>
  <c r="N19" i="110"/>
  <c r="R18" i="110"/>
  <c r="Q18" i="110"/>
  <c r="P18" i="110"/>
  <c r="O18" i="110"/>
  <c r="N18" i="110"/>
  <c r="R17" i="110"/>
  <c r="Q17" i="110"/>
  <c r="P17" i="110"/>
  <c r="O17" i="110"/>
  <c r="N17" i="110"/>
  <c r="R16" i="110"/>
  <c r="Q16" i="110"/>
  <c r="P16" i="110"/>
  <c r="O16" i="110"/>
  <c r="N16" i="110"/>
  <c r="R15" i="110"/>
  <c r="Q15" i="110"/>
  <c r="P15" i="110"/>
  <c r="O15" i="110"/>
  <c r="N15" i="110"/>
  <c r="R14" i="110"/>
  <c r="Q14" i="110"/>
  <c r="P14" i="110"/>
  <c r="O14" i="110"/>
  <c r="N14" i="110"/>
  <c r="R13" i="110"/>
  <c r="Q13" i="110"/>
  <c r="P13" i="110"/>
  <c r="O13" i="110"/>
  <c r="N13" i="110"/>
  <c r="AM13" i="110" s="1"/>
  <c r="AN13" i="110" s="1"/>
  <c r="AO13" i="110" s="1"/>
  <c r="AP13" i="110" s="1"/>
  <c r="AT13" i="110" s="1"/>
  <c r="AU13" i="110" s="1"/>
  <c r="AV13" i="110" s="1"/>
  <c r="AW13" i="110" s="1"/>
  <c r="AX13" i="110" s="1"/>
  <c r="R12" i="110"/>
  <c r="Q12" i="110"/>
  <c r="P12" i="110"/>
  <c r="O12" i="110"/>
  <c r="N12" i="110"/>
  <c r="R11" i="110"/>
  <c r="Q11" i="110"/>
  <c r="P11" i="110"/>
  <c r="O11" i="110"/>
  <c r="N11" i="110"/>
  <c r="R10" i="110"/>
  <c r="Q10" i="110"/>
  <c r="P10" i="110"/>
  <c r="O10" i="110"/>
  <c r="N10" i="110"/>
  <c r="R9" i="110"/>
  <c r="Q9" i="110"/>
  <c r="P9" i="110"/>
  <c r="O9" i="110"/>
  <c r="N9" i="110"/>
  <c r="R8" i="110"/>
  <c r="Q8" i="110"/>
  <c r="P8" i="110"/>
  <c r="O8" i="110"/>
  <c r="N8" i="110"/>
  <c r="R7" i="110"/>
  <c r="Q7" i="110"/>
  <c r="P7" i="110"/>
  <c r="O7" i="110"/>
  <c r="N7" i="110"/>
  <c r="AG227" i="94" l="1"/>
  <c r="C326" i="94"/>
  <c r="AG326" i="94" s="1"/>
  <c r="C228" i="94"/>
  <c r="S13" i="111"/>
  <c r="L16" i="111"/>
  <c r="L18" i="111" s="1"/>
  <c r="E13" i="80" s="1"/>
  <c r="O31" i="110"/>
  <c r="AM11" i="110"/>
  <c r="AN11" i="110" s="1"/>
  <c r="AO11" i="110" s="1"/>
  <c r="AP11" i="110" s="1"/>
  <c r="AT11" i="110" s="1"/>
  <c r="AU11" i="110" s="1"/>
  <c r="AV11" i="110" s="1"/>
  <c r="AW11" i="110" s="1"/>
  <c r="AX11" i="110" s="1"/>
  <c r="I25" i="115"/>
  <c r="I13" i="115"/>
  <c r="E30" i="86"/>
  <c r="I17" i="115"/>
  <c r="G11" i="86"/>
  <c r="G21" i="86"/>
  <c r="G13" i="86"/>
  <c r="G14" i="86"/>
  <c r="G16" i="86"/>
  <c r="G17" i="86"/>
  <c r="G20" i="86"/>
  <c r="G22" i="86"/>
  <c r="G26" i="86"/>
  <c r="G27" i="86"/>
  <c r="G28" i="86"/>
  <c r="G29" i="86"/>
  <c r="G19" i="86"/>
  <c r="G23" i="86"/>
  <c r="G24" i="86"/>
  <c r="G25" i="86"/>
  <c r="G15" i="86"/>
  <c r="G18" i="86"/>
  <c r="G12" i="86"/>
  <c r="I28" i="115"/>
  <c r="I29" i="115"/>
  <c r="I14" i="115"/>
  <c r="I19" i="115"/>
  <c r="I18" i="115"/>
  <c r="I15" i="115"/>
  <c r="I24" i="115"/>
  <c r="I23" i="115"/>
  <c r="J30" i="115"/>
  <c r="K20" i="115" s="1"/>
  <c r="I20" i="115"/>
  <c r="I12" i="115"/>
  <c r="I27" i="115"/>
  <c r="I16" i="115"/>
  <c r="G30" i="115"/>
  <c r="L11" i="115"/>
  <c r="J11" i="86"/>
  <c r="L19" i="86"/>
  <c r="L15" i="86"/>
  <c r="L27" i="115"/>
  <c r="J27" i="86"/>
  <c r="L25" i="115"/>
  <c r="J25" i="86"/>
  <c r="L13" i="115"/>
  <c r="J13" i="86"/>
  <c r="L17" i="115"/>
  <c r="J17" i="86"/>
  <c r="L23" i="86"/>
  <c r="L21" i="115"/>
  <c r="J21" i="86"/>
  <c r="L14" i="86"/>
  <c r="H30" i="86"/>
  <c r="L22" i="115"/>
  <c r="J22" i="86"/>
  <c r="L12" i="115"/>
  <c r="J12" i="86"/>
  <c r="L26" i="115"/>
  <c r="J26" i="86"/>
  <c r="L20" i="115"/>
  <c r="J20" i="86"/>
  <c r="L24" i="86"/>
  <c r="L18" i="86"/>
  <c r="L16" i="115"/>
  <c r="J16" i="86"/>
  <c r="I11" i="115"/>
  <c r="S41" i="64"/>
  <c r="W41" i="64"/>
  <c r="T41" i="64"/>
  <c r="S32" i="102"/>
  <c r="P21" i="102"/>
  <c r="S39" i="102"/>
  <c r="AF10" i="111"/>
  <c r="AG10" i="111" s="1"/>
  <c r="AH10" i="111" s="1"/>
  <c r="AI10" i="111" s="1"/>
  <c r="AM10" i="111" s="1"/>
  <c r="AN10" i="111" s="1"/>
  <c r="AO10" i="111" s="1"/>
  <c r="AP10" i="111" s="1"/>
  <c r="AQ10" i="111" s="1"/>
  <c r="S10" i="111"/>
  <c r="T10" i="111" s="1"/>
  <c r="U10" i="111" s="1"/>
  <c r="V10" i="111" s="1"/>
  <c r="Z10" i="111" s="1"/>
  <c r="AA10" i="111" s="1"/>
  <c r="AB10" i="111" s="1"/>
  <c r="AC10" i="111" s="1"/>
  <c r="AD10" i="111" s="1"/>
  <c r="AF13" i="111"/>
  <c r="AG13" i="111" s="1"/>
  <c r="AH13" i="111" s="1"/>
  <c r="AI13" i="111" s="1"/>
  <c r="AM13" i="111" s="1"/>
  <c r="AN13" i="111" s="1"/>
  <c r="AO13" i="111" s="1"/>
  <c r="AP13" i="111" s="1"/>
  <c r="AQ13" i="111" s="1"/>
  <c r="T13" i="111"/>
  <c r="U13" i="111" s="1"/>
  <c r="V13" i="111" s="1"/>
  <c r="Z13" i="111" s="1"/>
  <c r="AA13" i="111" s="1"/>
  <c r="AB13" i="111" s="1"/>
  <c r="AC13" i="111" s="1"/>
  <c r="AD13" i="111" s="1"/>
  <c r="AF14" i="111"/>
  <c r="AG14" i="111" s="1"/>
  <c r="AH14" i="111" s="1"/>
  <c r="AI14" i="111" s="1"/>
  <c r="AM14" i="111" s="1"/>
  <c r="AN14" i="111" s="1"/>
  <c r="AO14" i="111" s="1"/>
  <c r="AP14" i="111" s="1"/>
  <c r="AQ14" i="111" s="1"/>
  <c r="S14" i="111"/>
  <c r="T14" i="111" s="1"/>
  <c r="U14" i="111" s="1"/>
  <c r="V14" i="111" s="1"/>
  <c r="Z14" i="111" s="1"/>
  <c r="AA14" i="111" s="1"/>
  <c r="AB14" i="111" s="1"/>
  <c r="AC14" i="111" s="1"/>
  <c r="AD14" i="111" s="1"/>
  <c r="AF12" i="111"/>
  <c r="AG12" i="111" s="1"/>
  <c r="AH12" i="111" s="1"/>
  <c r="AI12" i="111" s="1"/>
  <c r="AM12" i="111" s="1"/>
  <c r="AN12" i="111" s="1"/>
  <c r="AO12" i="111" s="1"/>
  <c r="AP12" i="111" s="1"/>
  <c r="AQ12" i="111" s="1"/>
  <c r="S12" i="111"/>
  <c r="T12" i="111" s="1"/>
  <c r="U12" i="111" s="1"/>
  <c r="V12" i="111" s="1"/>
  <c r="Z12" i="111" s="1"/>
  <c r="AA12" i="111" s="1"/>
  <c r="AB12" i="111" s="1"/>
  <c r="AC12" i="111" s="1"/>
  <c r="AD12" i="111" s="1"/>
  <c r="AF15" i="111"/>
  <c r="AG15" i="111" s="1"/>
  <c r="AH15" i="111" s="1"/>
  <c r="AI15" i="111" s="1"/>
  <c r="AM15" i="111" s="1"/>
  <c r="AN15" i="111" s="1"/>
  <c r="AO15" i="111" s="1"/>
  <c r="AP15" i="111" s="1"/>
  <c r="AQ15" i="111" s="1"/>
  <c r="S15" i="111"/>
  <c r="T15" i="111" s="1"/>
  <c r="U15" i="111" s="1"/>
  <c r="V15" i="111" s="1"/>
  <c r="AF11" i="111"/>
  <c r="AG11" i="111" s="1"/>
  <c r="AH11" i="111" s="1"/>
  <c r="AI11" i="111" s="1"/>
  <c r="AM11" i="111" s="1"/>
  <c r="AN11" i="111" s="1"/>
  <c r="AO11" i="111" s="1"/>
  <c r="AP11" i="111" s="1"/>
  <c r="AQ11" i="111" s="1"/>
  <c r="S11" i="111"/>
  <c r="T11" i="111" s="1"/>
  <c r="U11" i="111" s="1"/>
  <c r="V11" i="111" s="1"/>
  <c r="Z11" i="111" s="1"/>
  <c r="AA11" i="111" s="1"/>
  <c r="AB11" i="111" s="1"/>
  <c r="AC11" i="111" s="1"/>
  <c r="AD11" i="111" s="1"/>
  <c r="AF8" i="111"/>
  <c r="S8" i="111"/>
  <c r="AF9" i="111"/>
  <c r="AG9" i="111" s="1"/>
  <c r="AH9" i="111" s="1"/>
  <c r="AI9" i="111" s="1"/>
  <c r="AM9" i="111" s="1"/>
  <c r="AN9" i="111" s="1"/>
  <c r="AO9" i="111" s="1"/>
  <c r="AP9" i="111" s="1"/>
  <c r="AQ9" i="111" s="1"/>
  <c r="S9" i="111"/>
  <c r="T9" i="111" s="1"/>
  <c r="U9" i="111" s="1"/>
  <c r="V9" i="111" s="1"/>
  <c r="Z9" i="111" s="1"/>
  <c r="AA9" i="111" s="1"/>
  <c r="AB9" i="111" s="1"/>
  <c r="AC9" i="111" s="1"/>
  <c r="AD9" i="111" s="1"/>
  <c r="W14" i="110"/>
  <c r="AM14" i="110"/>
  <c r="AN14" i="110" s="1"/>
  <c r="AO14" i="110" s="1"/>
  <c r="AP14" i="110" s="1"/>
  <c r="AT14" i="110" s="1"/>
  <c r="AU14" i="110" s="1"/>
  <c r="AV14" i="110" s="1"/>
  <c r="AW14" i="110" s="1"/>
  <c r="AX14" i="110" s="1"/>
  <c r="W26" i="110"/>
  <c r="AM26" i="110"/>
  <c r="AN26" i="110" s="1"/>
  <c r="AO26" i="110" s="1"/>
  <c r="AP26" i="110" s="1"/>
  <c r="AT26" i="110" s="1"/>
  <c r="AU26" i="110" s="1"/>
  <c r="AV26" i="110" s="1"/>
  <c r="AW26" i="110" s="1"/>
  <c r="AX26" i="110" s="1"/>
  <c r="W7" i="110"/>
  <c r="AM7" i="110"/>
  <c r="AN7" i="110" s="1"/>
  <c r="AO7" i="110" s="1"/>
  <c r="AP7" i="110" s="1"/>
  <c r="AT7" i="110" s="1"/>
  <c r="AU7" i="110" s="1"/>
  <c r="AV7" i="110" s="1"/>
  <c r="AW7" i="110" s="1"/>
  <c r="AX7" i="110" s="1"/>
  <c r="W19" i="110"/>
  <c r="AM19" i="110"/>
  <c r="AN19" i="110" s="1"/>
  <c r="AO19" i="110" s="1"/>
  <c r="AP19" i="110" s="1"/>
  <c r="AT19" i="110" s="1"/>
  <c r="AU19" i="110" s="1"/>
  <c r="AV19" i="110" s="1"/>
  <c r="AW19" i="110" s="1"/>
  <c r="AX19" i="110" s="1"/>
  <c r="W12" i="110"/>
  <c r="AM12" i="110"/>
  <c r="AN12" i="110" s="1"/>
  <c r="AO12" i="110" s="1"/>
  <c r="AP12" i="110" s="1"/>
  <c r="AT12" i="110" s="1"/>
  <c r="AU12" i="110" s="1"/>
  <c r="AV12" i="110" s="1"/>
  <c r="AW12" i="110" s="1"/>
  <c r="AX12" i="110" s="1"/>
  <c r="W24" i="110"/>
  <c r="AM24" i="110"/>
  <c r="AN24" i="110" s="1"/>
  <c r="AO24" i="110" s="1"/>
  <c r="AP24" i="110" s="1"/>
  <c r="AT24" i="110" s="1"/>
  <c r="AU24" i="110" s="1"/>
  <c r="AV24" i="110" s="1"/>
  <c r="AW24" i="110" s="1"/>
  <c r="AX24" i="110" s="1"/>
  <c r="W17" i="110"/>
  <c r="AM17" i="110"/>
  <c r="AN17" i="110" s="1"/>
  <c r="AO17" i="110" s="1"/>
  <c r="AP17" i="110" s="1"/>
  <c r="AT17" i="110" s="1"/>
  <c r="AU17" i="110" s="1"/>
  <c r="AV17" i="110" s="1"/>
  <c r="AW17" i="110" s="1"/>
  <c r="AX17" i="110" s="1"/>
  <c r="W29" i="110"/>
  <c r="AM29" i="110"/>
  <c r="AN29" i="110" s="1"/>
  <c r="AO29" i="110" s="1"/>
  <c r="AP29" i="110" s="1"/>
  <c r="AT29" i="110" s="1"/>
  <c r="W10" i="110"/>
  <c r="AM10" i="110"/>
  <c r="AN10" i="110" s="1"/>
  <c r="AO10" i="110" s="1"/>
  <c r="AP10" i="110" s="1"/>
  <c r="AT10" i="110" s="1"/>
  <c r="AU10" i="110" s="1"/>
  <c r="AV10" i="110" s="1"/>
  <c r="AW10" i="110" s="1"/>
  <c r="AX10" i="110" s="1"/>
  <c r="W22" i="110"/>
  <c r="AM22" i="110"/>
  <c r="AN22" i="110" s="1"/>
  <c r="AO22" i="110" s="1"/>
  <c r="AP22" i="110" s="1"/>
  <c r="AT22" i="110" s="1"/>
  <c r="W15" i="110"/>
  <c r="AM15" i="110"/>
  <c r="AN15" i="110" s="1"/>
  <c r="AO15" i="110" s="1"/>
  <c r="AP15" i="110" s="1"/>
  <c r="AT15" i="110" s="1"/>
  <c r="AU15" i="110" s="1"/>
  <c r="AV15" i="110" s="1"/>
  <c r="AW15" i="110" s="1"/>
  <c r="AX15" i="110" s="1"/>
  <c r="W27" i="110"/>
  <c r="AM27" i="110"/>
  <c r="AN27" i="110" s="1"/>
  <c r="AO27" i="110" s="1"/>
  <c r="AP27" i="110" s="1"/>
  <c r="AT27" i="110" s="1"/>
  <c r="AU27" i="110" s="1"/>
  <c r="AV27" i="110" s="1"/>
  <c r="AW27" i="110" s="1"/>
  <c r="AX27" i="110" s="1"/>
  <c r="W8" i="110"/>
  <c r="AM8" i="110"/>
  <c r="AN8" i="110" s="1"/>
  <c r="AO8" i="110" s="1"/>
  <c r="AP8" i="110" s="1"/>
  <c r="AT8" i="110" s="1"/>
  <c r="W20" i="110"/>
  <c r="AM20" i="110"/>
  <c r="AN20" i="110" s="1"/>
  <c r="AO20" i="110" s="1"/>
  <c r="AP20" i="110" s="1"/>
  <c r="AT20" i="110" s="1"/>
  <c r="AU20" i="110" s="1"/>
  <c r="AV20" i="110" s="1"/>
  <c r="AW20" i="110" s="1"/>
  <c r="AX20" i="110" s="1"/>
  <c r="AM18" i="110"/>
  <c r="AN18" i="110" s="1"/>
  <c r="AO18" i="110" s="1"/>
  <c r="AP18" i="110" s="1"/>
  <c r="AT18" i="110" s="1"/>
  <c r="AU18" i="110" s="1"/>
  <c r="AV18" i="110" s="1"/>
  <c r="AW18" i="110" s="1"/>
  <c r="AX18" i="110" s="1"/>
  <c r="AM30" i="110"/>
  <c r="AN30" i="110" s="1"/>
  <c r="AO30" i="110" s="1"/>
  <c r="AP30" i="110" s="1"/>
  <c r="AT30" i="110" s="1"/>
  <c r="AU30" i="110" s="1"/>
  <c r="AV30" i="110" s="1"/>
  <c r="AW30" i="110" s="1"/>
  <c r="AX30" i="110" s="1"/>
  <c r="AM23" i="110"/>
  <c r="AN23" i="110" s="1"/>
  <c r="AO23" i="110" s="1"/>
  <c r="AP23" i="110" s="1"/>
  <c r="AT23" i="110" s="1"/>
  <c r="AU23" i="110" s="1"/>
  <c r="AV23" i="110" s="1"/>
  <c r="AW23" i="110" s="1"/>
  <c r="AX23" i="110" s="1"/>
  <c r="AM16" i="110"/>
  <c r="AN16" i="110" s="1"/>
  <c r="AO16" i="110" s="1"/>
  <c r="AP16" i="110" s="1"/>
  <c r="AT16" i="110" s="1"/>
  <c r="AU16" i="110" s="1"/>
  <c r="AV16" i="110" s="1"/>
  <c r="AW16" i="110" s="1"/>
  <c r="AX16" i="110" s="1"/>
  <c r="AM28" i="110"/>
  <c r="AN28" i="110" s="1"/>
  <c r="AO28" i="110" s="1"/>
  <c r="AP28" i="110" s="1"/>
  <c r="AT28" i="110" s="1"/>
  <c r="AM9" i="110"/>
  <c r="AN9" i="110" s="1"/>
  <c r="AO9" i="110" s="1"/>
  <c r="AP9" i="110" s="1"/>
  <c r="AT9" i="110" s="1"/>
  <c r="AU9" i="110" s="1"/>
  <c r="AV9" i="110" s="1"/>
  <c r="AW9" i="110" s="1"/>
  <c r="AX9" i="110" s="1"/>
  <c r="AM21" i="110"/>
  <c r="AN21" i="110" s="1"/>
  <c r="AO21" i="110" s="1"/>
  <c r="AP21" i="110" s="1"/>
  <c r="AT21" i="110" s="1"/>
  <c r="W13" i="110"/>
  <c r="W25" i="110"/>
  <c r="W18" i="110"/>
  <c r="W30" i="110"/>
  <c r="W16" i="110"/>
  <c r="W28" i="110"/>
  <c r="W9" i="110"/>
  <c r="W21" i="110"/>
  <c r="W23" i="110"/>
  <c r="W11" i="110"/>
  <c r="M16" i="111"/>
  <c r="M18" i="111" s="1"/>
  <c r="F13" i="80" s="1"/>
  <c r="N16" i="111"/>
  <c r="N18" i="111" s="1"/>
  <c r="G13" i="80" s="1"/>
  <c r="O16" i="111"/>
  <c r="O18" i="111" s="1"/>
  <c r="H13" i="80" s="1"/>
  <c r="K16" i="111"/>
  <c r="K18" i="111" s="1"/>
  <c r="D13" i="80" s="1"/>
  <c r="Q31" i="110"/>
  <c r="Q33" i="110" s="1"/>
  <c r="G12" i="80" s="1"/>
  <c r="N31" i="110"/>
  <c r="N33" i="110" s="1"/>
  <c r="D12" i="80" s="1"/>
  <c r="O33" i="110"/>
  <c r="E12" i="80" s="1"/>
  <c r="P31" i="110"/>
  <c r="P33" i="110" s="1"/>
  <c r="F12" i="80" s="1"/>
  <c r="R31" i="110"/>
  <c r="R33" i="110" s="1"/>
  <c r="H12" i="80" s="1"/>
  <c r="S60" i="102"/>
  <c r="T53" i="102"/>
  <c r="T33" i="102"/>
  <c r="T52" i="102"/>
  <c r="S14" i="102"/>
  <c r="C229" i="94" l="1"/>
  <c r="AG228" i="94"/>
  <c r="C327" i="94"/>
  <c r="AG327" i="94" s="1"/>
  <c r="K27" i="115"/>
  <c r="I11" i="86"/>
  <c r="I15" i="86"/>
  <c r="I27" i="86"/>
  <c r="I18" i="86"/>
  <c r="I21" i="86"/>
  <c r="I14" i="86"/>
  <c r="I16" i="86"/>
  <c r="I28" i="86"/>
  <c r="I19" i="86"/>
  <c r="I13" i="86"/>
  <c r="I17" i="86"/>
  <c r="I29" i="86"/>
  <c r="I20" i="86"/>
  <c r="I24" i="86"/>
  <c r="I22" i="86"/>
  <c r="I23" i="86"/>
  <c r="I25" i="86"/>
  <c r="I26" i="86"/>
  <c r="I12" i="86"/>
  <c r="K28" i="115"/>
  <c r="K29" i="115"/>
  <c r="K19" i="115"/>
  <c r="K24" i="115"/>
  <c r="K18" i="115"/>
  <c r="K23" i="115"/>
  <c r="K14" i="115"/>
  <c r="K15" i="115"/>
  <c r="K26" i="115"/>
  <c r="K21" i="115"/>
  <c r="K25" i="115"/>
  <c r="K13" i="115"/>
  <c r="K16" i="115"/>
  <c r="K22" i="115"/>
  <c r="K12" i="115"/>
  <c r="K17" i="115"/>
  <c r="L30" i="115"/>
  <c r="I30" i="115"/>
  <c r="K11" i="115"/>
  <c r="L27" i="86"/>
  <c r="L22" i="86"/>
  <c r="L17" i="86"/>
  <c r="L13" i="86"/>
  <c r="L26" i="86"/>
  <c r="L21" i="86"/>
  <c r="L25" i="86"/>
  <c r="L12" i="86"/>
  <c r="J30" i="86"/>
  <c r="K13" i="86" s="1"/>
  <c r="L20" i="86"/>
  <c r="L16" i="86"/>
  <c r="L11" i="86"/>
  <c r="AU29" i="110"/>
  <c r="AV29" i="110" s="1"/>
  <c r="AW29" i="110" s="1"/>
  <c r="AX29" i="110" s="1"/>
  <c r="AU22" i="110"/>
  <c r="AV22" i="110" s="1"/>
  <c r="AW22" i="110" s="1"/>
  <c r="AX22" i="110" s="1"/>
  <c r="AU21" i="110"/>
  <c r="AV21" i="110" s="1"/>
  <c r="AW21" i="110" s="1"/>
  <c r="AX21" i="110" s="1"/>
  <c r="AU8" i="110"/>
  <c r="AV8" i="110" s="1"/>
  <c r="AW8" i="110" s="1"/>
  <c r="AX8" i="110" s="1"/>
  <c r="T32" i="102"/>
  <c r="AT31" i="110"/>
  <c r="AU28" i="110"/>
  <c r="AV28" i="110" s="1"/>
  <c r="AW28" i="110" s="1"/>
  <c r="AX28" i="110" s="1"/>
  <c r="S21" i="102"/>
  <c r="Z15" i="111"/>
  <c r="AA15" i="111" s="1"/>
  <c r="AB15" i="111" s="1"/>
  <c r="AC15" i="111" s="1"/>
  <c r="AD15" i="111" s="1"/>
  <c r="T8" i="111"/>
  <c r="S16" i="111"/>
  <c r="S18" i="111" s="1"/>
  <c r="AG8" i="111"/>
  <c r="AF16" i="111"/>
  <c r="AF18" i="111" s="1"/>
  <c r="X24" i="110"/>
  <c r="X23" i="110"/>
  <c r="X15" i="110"/>
  <c r="X9" i="110"/>
  <c r="AM31" i="110"/>
  <c r="AM33" i="110" s="1"/>
  <c r="X16" i="110"/>
  <c r="X10" i="110"/>
  <c r="X7" i="110"/>
  <c r="X30" i="110"/>
  <c r="X27" i="110"/>
  <c r="X11" i="110"/>
  <c r="X12" i="110"/>
  <c r="X21" i="110"/>
  <c r="X22" i="110"/>
  <c r="X19" i="110"/>
  <c r="X28" i="110"/>
  <c r="X18" i="110"/>
  <c r="X20" i="110"/>
  <c r="X29" i="110"/>
  <c r="X26" i="110"/>
  <c r="X25" i="110"/>
  <c r="X13" i="110"/>
  <c r="X8" i="110"/>
  <c r="X17" i="110"/>
  <c r="X14" i="110"/>
  <c r="W31" i="110"/>
  <c r="W33" i="110" s="1"/>
  <c r="T60" i="102"/>
  <c r="W33" i="102"/>
  <c r="W53" i="102"/>
  <c r="W52" i="102"/>
  <c r="T14" i="102"/>
  <c r="I13" i="80"/>
  <c r="I12" i="80"/>
  <c r="B18" i="2"/>
  <c r="B20" i="2"/>
  <c r="B42" i="3"/>
  <c r="B43" i="3" s="1"/>
  <c r="B33" i="3"/>
  <c r="B34" i="3" s="1"/>
  <c r="B35" i="3" s="1"/>
  <c r="B36" i="3" s="1"/>
  <c r="M12" i="115" l="1"/>
  <c r="M17" i="115"/>
  <c r="AG229" i="94"/>
  <c r="C328" i="94"/>
  <c r="AG328" i="94" s="1"/>
  <c r="K17" i="86"/>
  <c r="K20" i="86"/>
  <c r="K21" i="86"/>
  <c r="L30" i="86"/>
  <c r="M13" i="86" s="1"/>
  <c r="K28" i="86"/>
  <c r="K29" i="86"/>
  <c r="K14" i="86"/>
  <c r="K18" i="86"/>
  <c r="K15" i="86"/>
  <c r="K24" i="86"/>
  <c r="K23" i="86"/>
  <c r="K19" i="86"/>
  <c r="K26" i="86"/>
  <c r="K27" i="86"/>
  <c r="K22" i="86"/>
  <c r="K25" i="86"/>
  <c r="M26" i="86"/>
  <c r="K12" i="86"/>
  <c r="K16" i="86"/>
  <c r="M28" i="115"/>
  <c r="M29" i="115"/>
  <c r="M15" i="115"/>
  <c r="M14" i="115"/>
  <c r="M19" i="115"/>
  <c r="M24" i="115"/>
  <c r="M23" i="115"/>
  <c r="M18" i="115"/>
  <c r="M26" i="115"/>
  <c r="M20" i="115"/>
  <c r="M13" i="115"/>
  <c r="I30" i="86"/>
  <c r="M21" i="115"/>
  <c r="M25" i="115"/>
  <c r="M16" i="115"/>
  <c r="M11" i="115"/>
  <c r="M27" i="115"/>
  <c r="M22" i="115"/>
  <c r="K30" i="115"/>
  <c r="K11" i="86"/>
  <c r="T39" i="102"/>
  <c r="W32" i="102"/>
  <c r="AU31" i="110"/>
  <c r="AT33" i="110"/>
  <c r="J12" i="80"/>
  <c r="K12" i="80" s="1"/>
  <c r="M12" i="80" s="1"/>
  <c r="T21" i="102"/>
  <c r="AH8" i="111"/>
  <c r="AG16" i="111"/>
  <c r="AG18" i="111" s="1"/>
  <c r="U8" i="111"/>
  <c r="T16" i="111"/>
  <c r="T18" i="111" s="1"/>
  <c r="Y29" i="110"/>
  <c r="Y10" i="110"/>
  <c r="Y20" i="110"/>
  <c r="Y12" i="110"/>
  <c r="Y18" i="110"/>
  <c r="Y13" i="110"/>
  <c r="Y27" i="110"/>
  <c r="AN31" i="110"/>
  <c r="AN33" i="110" s="1"/>
  <c r="Y7" i="110"/>
  <c r="Y14" i="110"/>
  <c r="Y21" i="110"/>
  <c r="Y17" i="110"/>
  <c r="Y16" i="110"/>
  <c r="Y8" i="110"/>
  <c r="Y11" i="110"/>
  <c r="Y9" i="110"/>
  <c r="Y28" i="110"/>
  <c r="Y15" i="110"/>
  <c r="Y25" i="110"/>
  <c r="Y19" i="110"/>
  <c r="Y30" i="110"/>
  <c r="Y23" i="110"/>
  <c r="Y26" i="110"/>
  <c r="Y22" i="110"/>
  <c r="X31" i="110"/>
  <c r="X33" i="110" s="1"/>
  <c r="Y24" i="110"/>
  <c r="J13" i="80"/>
  <c r="W60" i="102"/>
  <c r="W14" i="102"/>
  <c r="M21" i="86" l="1"/>
  <c r="M16" i="86"/>
  <c r="M25" i="86"/>
  <c r="M20" i="86"/>
  <c r="M12" i="86"/>
  <c r="M23" i="86"/>
  <c r="M28" i="86"/>
  <c r="M15" i="86"/>
  <c r="M18" i="86"/>
  <c r="M19" i="86"/>
  <c r="M24" i="86"/>
  <c r="M14" i="86"/>
  <c r="M22" i="86"/>
  <c r="M17" i="86"/>
  <c r="M27" i="86"/>
  <c r="M30" i="115"/>
  <c r="M11" i="86"/>
  <c r="M29" i="86"/>
  <c r="K30" i="86"/>
  <c r="W39" i="102"/>
  <c r="L12" i="80"/>
  <c r="AV31" i="110"/>
  <c r="AU33" i="110"/>
  <c r="N12" i="80" s="1"/>
  <c r="W21" i="102"/>
  <c r="V8" i="111"/>
  <c r="U16" i="111"/>
  <c r="U18" i="111" s="1"/>
  <c r="K13" i="80"/>
  <c r="M13" i="80" s="1"/>
  <c r="O13" i="80" s="1"/>
  <c r="AI8" i="111"/>
  <c r="AH16" i="111"/>
  <c r="AH18" i="111" s="1"/>
  <c r="Z15" i="110"/>
  <c r="Z28" i="110"/>
  <c r="Z25" i="110"/>
  <c r="Z16" i="110"/>
  <c r="Z13" i="110"/>
  <c r="Z22" i="110"/>
  <c r="Z17" i="110"/>
  <c r="Z18" i="110"/>
  <c r="Z26" i="110"/>
  <c r="Z21" i="110"/>
  <c r="Z12" i="110"/>
  <c r="Z23" i="110"/>
  <c r="Z9" i="110"/>
  <c r="Z14" i="110"/>
  <c r="AO31" i="110"/>
  <c r="AO33" i="110" s="1"/>
  <c r="Z20" i="110"/>
  <c r="Z30" i="110"/>
  <c r="Z11" i="110"/>
  <c r="Z7" i="110"/>
  <c r="Y31" i="110"/>
  <c r="Y33" i="110" s="1"/>
  <c r="Z10" i="110"/>
  <c r="Z19" i="110"/>
  <c r="Z8" i="110"/>
  <c r="Z24" i="110"/>
  <c r="Z27" i="110"/>
  <c r="Z29" i="110"/>
  <c r="O12" i="80"/>
  <c r="B17" i="77"/>
  <c r="B18" i="77" s="1"/>
  <c r="B12" i="77"/>
  <c r="B13" i="77" s="1"/>
  <c r="M30" i="86" l="1"/>
  <c r="E13" i="79"/>
  <c r="F13" i="79"/>
  <c r="AV33" i="110"/>
  <c r="P12" i="80" s="1"/>
  <c r="AW31" i="110"/>
  <c r="AI16" i="111"/>
  <c r="AI18" i="111" s="1"/>
  <c r="J34" i="80" s="1"/>
  <c r="AM8" i="111"/>
  <c r="Z8" i="111"/>
  <c r="V16" i="111"/>
  <c r="V18" i="111" s="1"/>
  <c r="AE7" i="110"/>
  <c r="Z31" i="110"/>
  <c r="Z33" i="110" s="1"/>
  <c r="AE27" i="110"/>
  <c r="AF27" i="110" s="1"/>
  <c r="AG27" i="110" s="1"/>
  <c r="AH27" i="110" s="1"/>
  <c r="AI27" i="110" s="1"/>
  <c r="AE23" i="110"/>
  <c r="AF23" i="110" s="1"/>
  <c r="AG23" i="110" s="1"/>
  <c r="AH23" i="110" s="1"/>
  <c r="AI23" i="110" s="1"/>
  <c r="AE22" i="110"/>
  <c r="AE11" i="110"/>
  <c r="AF11" i="110" s="1"/>
  <c r="AG11" i="110" s="1"/>
  <c r="AH11" i="110" s="1"/>
  <c r="AI11" i="110" s="1"/>
  <c r="AE24" i="110"/>
  <c r="AF24" i="110" s="1"/>
  <c r="AG24" i="110" s="1"/>
  <c r="AH24" i="110" s="1"/>
  <c r="AI24" i="110" s="1"/>
  <c r="AE12" i="110"/>
  <c r="AF12" i="110" s="1"/>
  <c r="AG12" i="110" s="1"/>
  <c r="AH12" i="110" s="1"/>
  <c r="AI12" i="110" s="1"/>
  <c r="AE13" i="110"/>
  <c r="AF13" i="110" s="1"/>
  <c r="AG13" i="110" s="1"/>
  <c r="AH13" i="110" s="1"/>
  <c r="AI13" i="110" s="1"/>
  <c r="AE30" i="110"/>
  <c r="AF30" i="110" s="1"/>
  <c r="AG30" i="110" s="1"/>
  <c r="AH30" i="110" s="1"/>
  <c r="AI30" i="110" s="1"/>
  <c r="AE8" i="110"/>
  <c r="AE21" i="110"/>
  <c r="AE16" i="110"/>
  <c r="AF16" i="110" s="1"/>
  <c r="AG16" i="110" s="1"/>
  <c r="AH16" i="110" s="1"/>
  <c r="AI16" i="110" s="1"/>
  <c r="AE20" i="110"/>
  <c r="AF20" i="110" s="1"/>
  <c r="AG20" i="110" s="1"/>
  <c r="AH20" i="110" s="1"/>
  <c r="AI20" i="110" s="1"/>
  <c r="AE19" i="110"/>
  <c r="AF19" i="110" s="1"/>
  <c r="AG19" i="110" s="1"/>
  <c r="AH19" i="110" s="1"/>
  <c r="AI19" i="110" s="1"/>
  <c r="AE26" i="110"/>
  <c r="AF26" i="110" s="1"/>
  <c r="AG26" i="110" s="1"/>
  <c r="AH26" i="110" s="1"/>
  <c r="AI26" i="110" s="1"/>
  <c r="AE25" i="110"/>
  <c r="AF25" i="110" s="1"/>
  <c r="AG25" i="110" s="1"/>
  <c r="AH25" i="110" s="1"/>
  <c r="AI25" i="110" s="1"/>
  <c r="AE10" i="110"/>
  <c r="AF10" i="110" s="1"/>
  <c r="AG10" i="110" s="1"/>
  <c r="AH10" i="110" s="1"/>
  <c r="AI10" i="110" s="1"/>
  <c r="AE14" i="110"/>
  <c r="AF14" i="110" s="1"/>
  <c r="AG14" i="110" s="1"/>
  <c r="AH14" i="110" s="1"/>
  <c r="AI14" i="110" s="1"/>
  <c r="AE18" i="110"/>
  <c r="AF18" i="110" s="1"/>
  <c r="AG18" i="110" s="1"/>
  <c r="AH18" i="110" s="1"/>
  <c r="AI18" i="110" s="1"/>
  <c r="AE28" i="110"/>
  <c r="AE29" i="110"/>
  <c r="AP31" i="110"/>
  <c r="AP33" i="110" s="1"/>
  <c r="J33" i="80" s="1"/>
  <c r="AE9" i="110"/>
  <c r="AF9" i="110" s="1"/>
  <c r="AG9" i="110" s="1"/>
  <c r="AH9" i="110" s="1"/>
  <c r="AI9" i="110" s="1"/>
  <c r="AE17" i="110"/>
  <c r="AF17" i="110" s="1"/>
  <c r="AG17" i="110" s="1"/>
  <c r="AH17" i="110" s="1"/>
  <c r="AI17" i="110" s="1"/>
  <c r="AE15" i="110"/>
  <c r="AF15" i="110" s="1"/>
  <c r="AG15" i="110" s="1"/>
  <c r="AH15" i="110" s="1"/>
  <c r="AI15" i="110" s="1"/>
  <c r="Q12" i="80"/>
  <c r="Q13" i="80"/>
  <c r="B12" i="87"/>
  <c r="B13" i="87" s="1"/>
  <c r="B14" i="87" s="1"/>
  <c r="B11" i="2"/>
  <c r="B12" i="2" s="1"/>
  <c r="B13" i="2" s="1"/>
  <c r="B14" i="2" s="1"/>
  <c r="B18" i="3"/>
  <c r="B19" i="3" s="1"/>
  <c r="B10" i="3"/>
  <c r="B11" i="3" s="1"/>
  <c r="B12" i="3" s="1"/>
  <c r="B13" i="3" s="1"/>
  <c r="B14" i="3" s="1"/>
  <c r="B12" i="80"/>
  <c r="B13" i="80" s="1"/>
  <c r="B14" i="80" s="1"/>
  <c r="B15" i="80" s="1"/>
  <c r="B16" i="80" s="1"/>
  <c r="B11" i="79"/>
  <c r="B12" i="79" s="1"/>
  <c r="B13" i="79" s="1"/>
  <c r="B14" i="79" s="1"/>
  <c r="AF29" i="110" l="1"/>
  <c r="AG29" i="110" s="1"/>
  <c r="AH29" i="110" s="1"/>
  <c r="AI29" i="110" s="1"/>
  <c r="AF22" i="110"/>
  <c r="AG22" i="110" s="1"/>
  <c r="AH22" i="110" s="1"/>
  <c r="AI22" i="110" s="1"/>
  <c r="AF21" i="110"/>
  <c r="AG21" i="110" s="1"/>
  <c r="AH21" i="110" s="1"/>
  <c r="AI21" i="110" s="1"/>
  <c r="AF8" i="110"/>
  <c r="AG8" i="110" s="1"/>
  <c r="AH8" i="110" s="1"/>
  <c r="AI8" i="110" s="1"/>
  <c r="AF28" i="110"/>
  <c r="AE31" i="110"/>
  <c r="AE33" i="110" s="1"/>
  <c r="G13" i="79"/>
  <c r="AW33" i="110"/>
  <c r="AX31" i="110"/>
  <c r="AX33" i="110" s="1"/>
  <c r="T12" i="80" s="1"/>
  <c r="AM16" i="111"/>
  <c r="AM18" i="111" s="1"/>
  <c r="L13" i="80" s="1"/>
  <c r="E12" i="79" s="1"/>
  <c r="AN8" i="111"/>
  <c r="AA8" i="111"/>
  <c r="Z16" i="111"/>
  <c r="Z18" i="111" s="1"/>
  <c r="AF7" i="110"/>
  <c r="AG7" i="110" s="1"/>
  <c r="AH7" i="110" s="1"/>
  <c r="AI7" i="110" s="1"/>
  <c r="S13" i="80"/>
  <c r="S12" i="80"/>
  <c r="B15" i="2"/>
  <c r="B16" i="2" s="1"/>
  <c r="R12" i="80" l="1"/>
  <c r="I13" i="79"/>
  <c r="AG28" i="110"/>
  <c r="AF31" i="110"/>
  <c r="AN16" i="111"/>
  <c r="AN18" i="111" s="1"/>
  <c r="N13" i="80" s="1"/>
  <c r="F12" i="79" s="1"/>
  <c r="AO8" i="111"/>
  <c r="AB8" i="111"/>
  <c r="AA16" i="111"/>
  <c r="AA18" i="111" s="1"/>
  <c r="B10" i="44"/>
  <c r="B11" i="44" s="1"/>
  <c r="B13" i="44" s="1"/>
  <c r="B14" i="44" s="1"/>
  <c r="B15" i="44" s="1"/>
  <c r="B16" i="44" s="1"/>
  <c r="B17" i="44" s="1"/>
  <c r="B18" i="44" s="1"/>
  <c r="B19" i="44" s="1"/>
  <c r="B20" i="44" s="1"/>
  <c r="B21" i="44" s="1"/>
  <c r="B22" i="44" s="1"/>
  <c r="B23" i="44" s="1"/>
  <c r="B24" i="44" s="1"/>
  <c r="B25" i="44" s="1"/>
  <c r="B26" i="44" s="1"/>
  <c r="B27" i="44" s="1"/>
  <c r="B28" i="44" s="1"/>
  <c r="B29" i="44" s="1"/>
  <c r="B30" i="44" s="1"/>
  <c r="B31" i="44" s="1"/>
  <c r="AH28" i="110" l="1"/>
  <c r="AG31" i="110"/>
  <c r="AG33" i="110" s="1"/>
  <c r="AF33" i="110"/>
  <c r="H13" i="79"/>
  <c r="AO16" i="111"/>
  <c r="AO18" i="111" s="1"/>
  <c r="P13" i="80" s="1"/>
  <c r="G12" i="79" s="1"/>
  <c r="AP8" i="111"/>
  <c r="AC8" i="111"/>
  <c r="AB16" i="111"/>
  <c r="AB18" i="111" s="1"/>
  <c r="AI28" i="110" l="1"/>
  <c r="AH31" i="110"/>
  <c r="AH33" i="110" s="1"/>
  <c r="AD8" i="111"/>
  <c r="AD16" i="111" s="1"/>
  <c r="AD18" i="111" s="1"/>
  <c r="AC16" i="111"/>
  <c r="AC18" i="111" s="1"/>
  <c r="AP16" i="111"/>
  <c r="AQ8" i="111"/>
  <c r="AQ16" i="111" s="1"/>
  <c r="AQ18" i="111" s="1"/>
  <c r="T13" i="80" s="1"/>
  <c r="I12" i="79" s="1"/>
  <c r="AP18" i="111" l="1"/>
  <c r="R13" i="80"/>
  <c r="H12" i="79" s="1"/>
  <c r="AI31" i="110"/>
  <c r="G30" i="86"/>
  <c r="AI33" i="110" l="1"/>
  <c r="C31" i="107"/>
  <c r="C33" i="107" s="1"/>
  <c r="O8" i="107"/>
  <c r="N8" i="107"/>
  <c r="P8" i="107"/>
  <c r="L8" i="107"/>
  <c r="P21" i="107"/>
  <c r="P29" i="107"/>
  <c r="P17" i="107"/>
  <c r="P9" i="107"/>
  <c r="P26" i="107"/>
  <c r="P19" i="107"/>
  <c r="P10" i="107"/>
  <c r="P22" i="107"/>
  <c r="P15" i="107"/>
  <c r="G31" i="107"/>
  <c r="G33" i="107" s="1"/>
  <c r="P20" i="107"/>
  <c r="P24" i="107"/>
  <c r="P27" i="107"/>
  <c r="P13" i="107"/>
  <c r="P30" i="107"/>
  <c r="P11" i="107"/>
  <c r="P23" i="107"/>
  <c r="P14" i="107"/>
  <c r="P12" i="107"/>
  <c r="P25" i="107"/>
  <c r="P18" i="107"/>
  <c r="P16" i="107"/>
  <c r="P28" i="107"/>
  <c r="O28" i="107"/>
  <c r="O21" i="107"/>
  <c r="L26" i="107"/>
  <c r="L12" i="107"/>
  <c r="O14" i="107"/>
  <c r="L17" i="107"/>
  <c r="N19" i="107"/>
  <c r="O26" i="107"/>
  <c r="L29" i="107"/>
  <c r="O23" i="107"/>
  <c r="O9" i="107"/>
  <c r="N14" i="107"/>
  <c r="L24" i="107"/>
  <c r="M26" i="107"/>
  <c r="N26" i="107"/>
  <c r="L10" i="107"/>
  <c r="N12" i="107"/>
  <c r="O19" i="107"/>
  <c r="L22" i="107"/>
  <c r="N24" i="107"/>
  <c r="N16" i="107"/>
  <c r="M19" i="107"/>
  <c r="L19" i="107"/>
  <c r="AE19" i="107" s="1"/>
  <c r="AF19" i="107" s="1"/>
  <c r="AG19" i="107" s="1"/>
  <c r="AH19" i="107" s="1"/>
  <c r="AL19" i="107" s="1"/>
  <c r="N29" i="107"/>
  <c r="N10" i="107"/>
  <c r="O17" i="107"/>
  <c r="L20" i="107"/>
  <c r="N22" i="107"/>
  <c r="M29" i="107"/>
  <c r="O29" i="107"/>
  <c r="O11" i="107"/>
  <c r="L27" i="107"/>
  <c r="D31" i="107"/>
  <c r="D33" i="107" s="1"/>
  <c r="M10" i="107"/>
  <c r="O10" i="107"/>
  <c r="L13" i="107"/>
  <c r="N15" i="107"/>
  <c r="M22" i="107"/>
  <c r="O22" i="107"/>
  <c r="L25" i="107"/>
  <c r="N27" i="107"/>
  <c r="M24" i="107"/>
  <c r="O24" i="107"/>
  <c r="E31" i="107"/>
  <c r="E33" i="107" s="1"/>
  <c r="O15" i="107"/>
  <c r="L18" i="107"/>
  <c r="N20" i="107"/>
  <c r="M27" i="107"/>
  <c r="O27" i="107"/>
  <c r="L30" i="107"/>
  <c r="M14" i="107"/>
  <c r="L14" i="107"/>
  <c r="AE14" i="107" s="1"/>
  <c r="AF14" i="107" s="1"/>
  <c r="AG14" i="107" s="1"/>
  <c r="AH14" i="107" s="1"/>
  <c r="AL14" i="107" s="1"/>
  <c r="N21" i="107"/>
  <c r="M12" i="107"/>
  <c r="O12" i="107"/>
  <c r="M8" i="107"/>
  <c r="F31" i="107"/>
  <c r="F33" i="107" s="1"/>
  <c r="L11" i="107"/>
  <c r="N13" i="107"/>
  <c r="M20" i="107"/>
  <c r="O20" i="107"/>
  <c r="L23" i="107"/>
  <c r="N25" i="107"/>
  <c r="N28" i="107"/>
  <c r="O16" i="107"/>
  <c r="M15" i="107"/>
  <c r="L15" i="107"/>
  <c r="AE15" i="107" s="1"/>
  <c r="AF15" i="107" s="1"/>
  <c r="AG15" i="107" s="1"/>
  <c r="AH15" i="107" s="1"/>
  <c r="AL15" i="107" s="1"/>
  <c r="M17" i="107"/>
  <c r="N17" i="107"/>
  <c r="M13" i="107"/>
  <c r="O13" i="107"/>
  <c r="M16" i="107"/>
  <c r="L16" i="107"/>
  <c r="AE16" i="107" s="1"/>
  <c r="AF16" i="107" s="1"/>
  <c r="AG16" i="107" s="1"/>
  <c r="AH16" i="107" s="1"/>
  <c r="AL16" i="107" s="1"/>
  <c r="N18" i="107"/>
  <c r="M25" i="107"/>
  <c r="O25" i="107"/>
  <c r="M28" i="107"/>
  <c r="L28" i="107"/>
  <c r="AE28" i="107" s="1"/>
  <c r="AF28" i="107" s="1"/>
  <c r="AG28" i="107" s="1"/>
  <c r="AH28" i="107" s="1"/>
  <c r="AL28" i="107" s="1"/>
  <c r="N30" i="107"/>
  <c r="N9" i="107"/>
  <c r="M9" i="107"/>
  <c r="L9" i="107"/>
  <c r="AE9" i="107" s="1"/>
  <c r="AF9" i="107" s="1"/>
  <c r="AG9" i="107" s="1"/>
  <c r="AH9" i="107" s="1"/>
  <c r="AL9" i="107" s="1"/>
  <c r="M11" i="107"/>
  <c r="N11" i="107"/>
  <c r="M18" i="107"/>
  <c r="O18" i="107"/>
  <c r="M21" i="107"/>
  <c r="L21" i="107"/>
  <c r="AE21" i="107" s="1"/>
  <c r="AF21" i="107" s="1"/>
  <c r="AG21" i="107" s="1"/>
  <c r="AH21" i="107" s="1"/>
  <c r="AL21" i="107" s="1"/>
  <c r="M23" i="107"/>
  <c r="N23" i="107"/>
  <c r="M30" i="107"/>
  <c r="O30" i="107"/>
  <c r="AE23" i="107" l="1"/>
  <c r="AF23" i="107" s="1"/>
  <c r="AG23" i="107" s="1"/>
  <c r="AH23" i="107" s="1"/>
  <c r="AL23" i="107" s="1"/>
  <c r="AE11" i="107"/>
  <c r="AF11" i="107" s="1"/>
  <c r="AG11" i="107" s="1"/>
  <c r="AH11" i="107" s="1"/>
  <c r="AL11" i="107" s="1"/>
  <c r="AE30" i="107"/>
  <c r="AF30" i="107" s="1"/>
  <c r="AG30" i="107" s="1"/>
  <c r="AH30" i="107" s="1"/>
  <c r="AL30" i="107" s="1"/>
  <c r="AE18" i="107"/>
  <c r="AF18" i="107" s="1"/>
  <c r="AG18" i="107" s="1"/>
  <c r="AH18" i="107" s="1"/>
  <c r="AL18" i="107" s="1"/>
  <c r="AE25" i="107"/>
  <c r="AF25" i="107" s="1"/>
  <c r="AG25" i="107" s="1"/>
  <c r="AH25" i="107" s="1"/>
  <c r="AL25" i="107" s="1"/>
  <c r="AE13" i="107"/>
  <c r="AF13" i="107" s="1"/>
  <c r="AG13" i="107" s="1"/>
  <c r="AH13" i="107" s="1"/>
  <c r="AL13" i="107" s="1"/>
  <c r="AE27" i="107"/>
  <c r="AF27" i="107" s="1"/>
  <c r="AG27" i="107" s="1"/>
  <c r="AH27" i="107" s="1"/>
  <c r="AL27" i="107" s="1"/>
  <c r="AE20" i="107"/>
  <c r="AF20" i="107" s="1"/>
  <c r="AG20" i="107" s="1"/>
  <c r="AH20" i="107" s="1"/>
  <c r="AL20" i="107" s="1"/>
  <c r="AE22" i="107"/>
  <c r="AF22" i="107" s="1"/>
  <c r="AG22" i="107" s="1"/>
  <c r="AH22" i="107" s="1"/>
  <c r="AL22" i="107" s="1"/>
  <c r="AE10" i="107"/>
  <c r="AF10" i="107" s="1"/>
  <c r="AG10" i="107" s="1"/>
  <c r="AH10" i="107" s="1"/>
  <c r="AL10" i="107" s="1"/>
  <c r="AE24" i="107"/>
  <c r="AF24" i="107" s="1"/>
  <c r="AG24" i="107" s="1"/>
  <c r="AH24" i="107" s="1"/>
  <c r="AL24" i="107" s="1"/>
  <c r="AE29" i="107"/>
  <c r="AF29" i="107" s="1"/>
  <c r="AG29" i="107" s="1"/>
  <c r="AH29" i="107" s="1"/>
  <c r="AL29" i="107" s="1"/>
  <c r="AE17" i="107"/>
  <c r="AF17" i="107" s="1"/>
  <c r="AG17" i="107" s="1"/>
  <c r="AH17" i="107" s="1"/>
  <c r="AL17" i="107" s="1"/>
  <c r="AE12" i="107"/>
  <c r="AF12" i="107" s="1"/>
  <c r="AG12" i="107" s="1"/>
  <c r="AH12" i="107" s="1"/>
  <c r="AL12" i="107" s="1"/>
  <c r="AE26" i="107"/>
  <c r="AF26" i="107" s="1"/>
  <c r="AG26" i="107" s="1"/>
  <c r="AH26" i="107" s="1"/>
  <c r="AL26" i="107" s="1"/>
  <c r="AE8" i="107"/>
  <c r="R27" i="107"/>
  <c r="S27" i="107" s="1"/>
  <c r="T27" i="107" s="1"/>
  <c r="U27" i="107" s="1"/>
  <c r="Y27" i="107" s="1"/>
  <c r="R28" i="107"/>
  <c r="S28" i="107" s="1"/>
  <c r="T28" i="107" s="1"/>
  <c r="U28" i="107" s="1"/>
  <c r="Y28" i="107" s="1"/>
  <c r="R15" i="107"/>
  <c r="S15" i="107" s="1"/>
  <c r="T15" i="107" s="1"/>
  <c r="U15" i="107" s="1"/>
  <c r="Y15" i="107" s="1"/>
  <c r="R22" i="107"/>
  <c r="S22" i="107" s="1"/>
  <c r="T22" i="107" s="1"/>
  <c r="U22" i="107" s="1"/>
  <c r="Y22" i="107" s="1"/>
  <c r="R10" i="107"/>
  <c r="S10" i="107" s="1"/>
  <c r="T10" i="107" s="1"/>
  <c r="U10" i="107" s="1"/>
  <c r="Y10" i="107" s="1"/>
  <c r="R20" i="107"/>
  <c r="S20" i="107" s="1"/>
  <c r="T20" i="107" s="1"/>
  <c r="U20" i="107" s="1"/>
  <c r="Y20" i="107" s="1"/>
  <c r="R17" i="107"/>
  <c r="S17" i="107" s="1"/>
  <c r="T17" i="107" s="1"/>
  <c r="U17" i="107" s="1"/>
  <c r="Y17" i="107" s="1"/>
  <c r="R12" i="107"/>
  <c r="S12" i="107" s="1"/>
  <c r="T12" i="107" s="1"/>
  <c r="U12" i="107" s="1"/>
  <c r="Y12" i="107" s="1"/>
  <c r="R26" i="107"/>
  <c r="S26" i="107" s="1"/>
  <c r="T26" i="107" s="1"/>
  <c r="U26" i="107" s="1"/>
  <c r="Y26" i="107" s="1"/>
  <c r="R14" i="107"/>
  <c r="S14" i="107" s="1"/>
  <c r="T14" i="107" s="1"/>
  <c r="U14" i="107" s="1"/>
  <c r="Y14" i="107" s="1"/>
  <c r="R23" i="107"/>
  <c r="S23" i="107" s="1"/>
  <c r="T23" i="107" s="1"/>
  <c r="U23" i="107" s="1"/>
  <c r="Y23" i="107" s="1"/>
  <c r="R30" i="107"/>
  <c r="S30" i="107" s="1"/>
  <c r="T30" i="107" s="1"/>
  <c r="U30" i="107" s="1"/>
  <c r="Y30" i="107" s="1"/>
  <c r="R24" i="107"/>
  <c r="S24" i="107" s="1"/>
  <c r="T24" i="107" s="1"/>
  <c r="U24" i="107" s="1"/>
  <c r="Y24" i="107" s="1"/>
  <c r="R8" i="107"/>
  <c r="R21" i="107"/>
  <c r="S21" i="107" s="1"/>
  <c r="T21" i="107" s="1"/>
  <c r="U21" i="107" s="1"/>
  <c r="Y21" i="107" s="1"/>
  <c r="R13" i="107"/>
  <c r="S13" i="107" s="1"/>
  <c r="T13" i="107" s="1"/>
  <c r="U13" i="107" s="1"/>
  <c r="Y13" i="107" s="1"/>
  <c r="R19" i="107"/>
  <c r="S19" i="107" s="1"/>
  <c r="T19" i="107" s="1"/>
  <c r="U19" i="107" s="1"/>
  <c r="Y19" i="107" s="1"/>
  <c r="R25" i="107"/>
  <c r="S25" i="107" s="1"/>
  <c r="T25" i="107" s="1"/>
  <c r="U25" i="107" s="1"/>
  <c r="Y25" i="107" s="1"/>
  <c r="R9" i="107"/>
  <c r="S9" i="107" s="1"/>
  <c r="T9" i="107" s="1"/>
  <c r="U9" i="107" s="1"/>
  <c r="Y9" i="107" s="1"/>
  <c r="R11" i="107"/>
  <c r="S11" i="107" s="1"/>
  <c r="T11" i="107" s="1"/>
  <c r="U11" i="107" s="1"/>
  <c r="Y11" i="107" s="1"/>
  <c r="R18" i="107"/>
  <c r="S18" i="107" s="1"/>
  <c r="T18" i="107" s="1"/>
  <c r="U18" i="107" s="1"/>
  <c r="Y18" i="107" s="1"/>
  <c r="R16" i="107"/>
  <c r="S16" i="107" s="1"/>
  <c r="T16" i="107" s="1"/>
  <c r="U16" i="107" s="1"/>
  <c r="Y16" i="107" s="1"/>
  <c r="R29" i="107"/>
  <c r="S29" i="107" s="1"/>
  <c r="T29" i="107" s="1"/>
  <c r="U29" i="107" s="1"/>
  <c r="Y29" i="107" s="1"/>
  <c r="P31" i="107"/>
  <c r="P33" i="107" s="1"/>
  <c r="L31" i="107"/>
  <c r="L33" i="107" s="1"/>
  <c r="N31" i="107"/>
  <c r="N33" i="107" s="1"/>
  <c r="O31" i="107"/>
  <c r="O33" i="107" s="1"/>
  <c r="M31" i="107"/>
  <c r="M33" i="107" s="1"/>
  <c r="E11" i="80" l="1"/>
  <c r="E14" i="80" s="1"/>
  <c r="E16" i="80" s="1"/>
  <c r="G11" i="80"/>
  <c r="G14" i="80" s="1"/>
  <c r="G16" i="80" s="1"/>
  <c r="F11" i="80"/>
  <c r="F14" i="80" s="1"/>
  <c r="F16" i="80" s="1"/>
  <c r="D11" i="80"/>
  <c r="D14" i="80" s="1"/>
  <c r="D16" i="80" s="1"/>
  <c r="H11" i="80"/>
  <c r="H14" i="80" s="1"/>
  <c r="H16" i="80" s="1"/>
  <c r="AE31" i="107"/>
  <c r="AE33" i="107" s="1"/>
  <c r="AF8" i="107"/>
  <c r="Z11" i="107"/>
  <c r="AA11" i="107" s="1"/>
  <c r="AB11" i="107" s="1"/>
  <c r="AC11" i="107" s="1"/>
  <c r="Z27" i="107"/>
  <c r="AA27" i="107" s="1"/>
  <c r="AB27" i="107" s="1"/>
  <c r="AC27" i="107" s="1"/>
  <c r="Z9" i="107"/>
  <c r="AA9" i="107" s="1"/>
  <c r="AB9" i="107" s="1"/>
  <c r="AC9" i="107" s="1"/>
  <c r="Z25" i="107"/>
  <c r="AA25" i="107" s="1"/>
  <c r="AB25" i="107" s="1"/>
  <c r="AC25" i="107" s="1"/>
  <c r="I11" i="80"/>
  <c r="J11" i="80" s="1"/>
  <c r="Z10" i="107"/>
  <c r="AA10" i="107" s="1"/>
  <c r="AB10" i="107" s="1"/>
  <c r="AC10" i="107" s="1"/>
  <c r="Z15" i="107"/>
  <c r="AA15" i="107" s="1"/>
  <c r="AB15" i="107" s="1"/>
  <c r="AC15" i="107" s="1"/>
  <c r="R31" i="107"/>
  <c r="R33" i="107" s="1"/>
  <c r="S8" i="107"/>
  <c r="Z24" i="107"/>
  <c r="AA24" i="107" s="1"/>
  <c r="AB24" i="107" s="1"/>
  <c r="AC24" i="107" s="1"/>
  <c r="Z30" i="107"/>
  <c r="AA30" i="107" s="1"/>
  <c r="AB30" i="107" s="1"/>
  <c r="AC30" i="107" s="1"/>
  <c r="Z13" i="107"/>
  <c r="AA13" i="107" s="1"/>
  <c r="AB13" i="107" s="1"/>
  <c r="AC13" i="107" s="1"/>
  <c r="Z12" i="107"/>
  <c r="AA12" i="107" s="1"/>
  <c r="AB12" i="107" s="1"/>
  <c r="AC12" i="107" s="1"/>
  <c r="Z21" i="107"/>
  <c r="AA21" i="107" s="1"/>
  <c r="AB21" i="107" s="1"/>
  <c r="AC21" i="107" s="1"/>
  <c r="Z28" i="107"/>
  <c r="AA28" i="107" s="1"/>
  <c r="AB28" i="107" s="1"/>
  <c r="AC28" i="107" s="1"/>
  <c r="Z29" i="107"/>
  <c r="AA29" i="107" s="1"/>
  <c r="AB29" i="107" s="1"/>
  <c r="AC29" i="107" s="1"/>
  <c r="Z23" i="107"/>
  <c r="AA23" i="107" s="1"/>
  <c r="AB23" i="107" s="1"/>
  <c r="AC23" i="107" s="1"/>
  <c r="Z16" i="107"/>
  <c r="AA16" i="107" s="1"/>
  <c r="AB16" i="107" s="1"/>
  <c r="AC16" i="107" s="1"/>
  <c r="Z14" i="107"/>
  <c r="AA14" i="107" s="1"/>
  <c r="AB14" i="107" s="1"/>
  <c r="AC14" i="107" s="1"/>
  <c r="Z17" i="107"/>
  <c r="AA17" i="107" s="1"/>
  <c r="AB17" i="107" s="1"/>
  <c r="AC17" i="107" s="1"/>
  <c r="Z20" i="107"/>
  <c r="AA20" i="107" s="1"/>
  <c r="AB20" i="107" s="1"/>
  <c r="AC20" i="107" s="1"/>
  <c r="Z19" i="107"/>
  <c r="AA19" i="107" s="1"/>
  <c r="AB19" i="107" s="1"/>
  <c r="AC19" i="107" s="1"/>
  <c r="Z22" i="107"/>
  <c r="AA22" i="107" s="1"/>
  <c r="AB22" i="107" s="1"/>
  <c r="AC22" i="107" s="1"/>
  <c r="Z18" i="107"/>
  <c r="AA18" i="107" s="1"/>
  <c r="AB18" i="107" s="1"/>
  <c r="AC18" i="107" s="1"/>
  <c r="Z26" i="107"/>
  <c r="AA26" i="107" s="1"/>
  <c r="AB26" i="107" s="1"/>
  <c r="AC26" i="107" s="1"/>
  <c r="AF31" i="107" l="1"/>
  <c r="AF33" i="107" s="1"/>
  <c r="AG8" i="107"/>
  <c r="I14" i="80"/>
  <c r="I16" i="80" s="1"/>
  <c r="AM21" i="107"/>
  <c r="AN21" i="107" s="1"/>
  <c r="AO21" i="107" s="1"/>
  <c r="AP21" i="107" s="1"/>
  <c r="AM17" i="107"/>
  <c r="AN17" i="107" s="1"/>
  <c r="AO17" i="107" s="1"/>
  <c r="AP17" i="107" s="1"/>
  <c r="AM12" i="107"/>
  <c r="AN12" i="107" s="1"/>
  <c r="AO12" i="107" s="1"/>
  <c r="AP12" i="107" s="1"/>
  <c r="AM26" i="107"/>
  <c r="AN26" i="107" s="1"/>
  <c r="AO26" i="107" s="1"/>
  <c r="AP26" i="107" s="1"/>
  <c r="AM14" i="107"/>
  <c r="AN14" i="107" s="1"/>
  <c r="AO14" i="107" s="1"/>
  <c r="AP14" i="107" s="1"/>
  <c r="AM10" i="107"/>
  <c r="AN10" i="107" s="1"/>
  <c r="AO10" i="107" s="1"/>
  <c r="AP10" i="107" s="1"/>
  <c r="AM19" i="107"/>
  <c r="AN19" i="107" s="1"/>
  <c r="AO19" i="107" s="1"/>
  <c r="AP19" i="107" s="1"/>
  <c r="AM16" i="107"/>
  <c r="AN16" i="107" s="1"/>
  <c r="AO16" i="107" s="1"/>
  <c r="AP16" i="107" s="1"/>
  <c r="AM13" i="107"/>
  <c r="AN13" i="107" s="1"/>
  <c r="AO13" i="107" s="1"/>
  <c r="AP13" i="107" s="1"/>
  <c r="AM23" i="107"/>
  <c r="AN23" i="107" s="1"/>
  <c r="AO23" i="107" s="1"/>
  <c r="AP23" i="107" s="1"/>
  <c r="AM29" i="107"/>
  <c r="AN29" i="107" s="1"/>
  <c r="AO29" i="107" s="1"/>
  <c r="AP29" i="107" s="1"/>
  <c r="AM18" i="107"/>
  <c r="AN18" i="107" s="1"/>
  <c r="AO18" i="107" s="1"/>
  <c r="AP18" i="107" s="1"/>
  <c r="AM25" i="107"/>
  <c r="AN25" i="107" s="1"/>
  <c r="AO25" i="107" s="1"/>
  <c r="AP25" i="107" s="1"/>
  <c r="AM22" i="107"/>
  <c r="AN22" i="107" s="1"/>
  <c r="AO22" i="107" s="1"/>
  <c r="AP22" i="107" s="1"/>
  <c r="AM30" i="107"/>
  <c r="AN30" i="107" s="1"/>
  <c r="AO30" i="107" s="1"/>
  <c r="AP30" i="107" s="1"/>
  <c r="AM9" i="107"/>
  <c r="AN9" i="107" s="1"/>
  <c r="AO9" i="107" s="1"/>
  <c r="AP9" i="107" s="1"/>
  <c r="AM24" i="107"/>
  <c r="AN24" i="107" s="1"/>
  <c r="AO24" i="107" s="1"/>
  <c r="AP24" i="107" s="1"/>
  <c r="AM27" i="107"/>
  <c r="AN27" i="107" s="1"/>
  <c r="AO27" i="107" s="1"/>
  <c r="AP27" i="107" s="1"/>
  <c r="AM28" i="107"/>
  <c r="AN28" i="107" s="1"/>
  <c r="AO28" i="107" s="1"/>
  <c r="AP28" i="107" s="1"/>
  <c r="AM20" i="107"/>
  <c r="AN20" i="107" s="1"/>
  <c r="AO20" i="107" s="1"/>
  <c r="AP20" i="107" s="1"/>
  <c r="AM11" i="107"/>
  <c r="AN11" i="107" s="1"/>
  <c r="AO11" i="107" s="1"/>
  <c r="AP11" i="107" s="1"/>
  <c r="AM15" i="107"/>
  <c r="AN15" i="107" s="1"/>
  <c r="AO15" i="107" s="1"/>
  <c r="AP15" i="107" s="1"/>
  <c r="T8" i="107"/>
  <c r="U8" i="107" s="1"/>
  <c r="S31" i="107"/>
  <c r="S33" i="107" s="1"/>
  <c r="K11" i="80"/>
  <c r="M11" i="80" s="1"/>
  <c r="J14" i="80"/>
  <c r="J16" i="80" s="1"/>
  <c r="AG31" i="107" l="1"/>
  <c r="AG33" i="107" s="1"/>
  <c r="AH8" i="107"/>
  <c r="T31" i="107"/>
  <c r="T33" i="107" s="1"/>
  <c r="K14" i="80"/>
  <c r="K16" i="80" s="1"/>
  <c r="AL8" i="107" l="1"/>
  <c r="AH31" i="107"/>
  <c r="AH33" i="107" s="1"/>
  <c r="J32" i="80" s="1"/>
  <c r="J35" i="80" s="1"/>
  <c r="J37" i="80" s="1"/>
  <c r="Y8" i="107"/>
  <c r="U31" i="107"/>
  <c r="U33" i="107" s="1"/>
  <c r="O11" i="80"/>
  <c r="M14" i="80"/>
  <c r="M16" i="80" s="1"/>
  <c r="Z8" i="107" l="1"/>
  <c r="Y31" i="107"/>
  <c r="Y33" i="107" s="1"/>
  <c r="AM8" i="107"/>
  <c r="O14" i="80"/>
  <c r="O16" i="80" s="1"/>
  <c r="Q11" i="80"/>
  <c r="AA8" i="107" l="1"/>
  <c r="Z31" i="107"/>
  <c r="Z33" i="107" s="1"/>
  <c r="AL31" i="107"/>
  <c r="AL33" i="107" s="1"/>
  <c r="L11" i="80" s="1"/>
  <c r="S11" i="80"/>
  <c r="Q14" i="80"/>
  <c r="Q16" i="80" s="1"/>
  <c r="AN8" i="107" l="1"/>
  <c r="AM31" i="107"/>
  <c r="AM33" i="107" s="1"/>
  <c r="N11" i="80" s="1"/>
  <c r="AB8" i="107"/>
  <c r="AA31" i="107"/>
  <c r="AA33" i="107" s="1"/>
  <c r="E11" i="79"/>
  <c r="L14" i="80"/>
  <c r="L16" i="80" s="1"/>
  <c r="E10" i="79" s="1"/>
  <c r="E14" i="79" s="1"/>
  <c r="E12" i="77" s="1"/>
  <c r="S14" i="80"/>
  <c r="S16" i="80" s="1"/>
  <c r="E10" i="2" l="1"/>
  <c r="AC8" i="107"/>
  <c r="AC31" i="107" s="1"/>
  <c r="AC33" i="107" s="1"/>
  <c r="AB31" i="107"/>
  <c r="AB33" i="107" s="1"/>
  <c r="N14" i="80"/>
  <c r="N16" i="80" s="1"/>
  <c r="F10" i="79" s="1"/>
  <c r="F14" i="79" s="1"/>
  <c r="F11" i="79"/>
  <c r="AN31" i="107"/>
  <c r="AN33" i="107" s="1"/>
  <c r="P11" i="80" s="1"/>
  <c r="AO8" i="107"/>
  <c r="F12" i="77" l="1"/>
  <c r="F10" i="2"/>
  <c r="AP8" i="107"/>
  <c r="AP31" i="107" s="1"/>
  <c r="AP33" i="107" s="1"/>
  <c r="T11" i="80" s="1"/>
  <c r="AO31" i="107"/>
  <c r="AO33" i="107" s="1"/>
  <c r="R11" i="80" s="1"/>
  <c r="G11" i="79"/>
  <c r="P14" i="80"/>
  <c r="P16" i="80" s="1"/>
  <c r="G10" i="79" s="1"/>
  <c r="G14" i="79" s="1"/>
  <c r="G12" i="77" l="1"/>
  <c r="G10" i="2"/>
  <c r="R14" i="80"/>
  <c r="R16" i="80" s="1"/>
  <c r="H10" i="79" s="1"/>
  <c r="H14" i="79" s="1"/>
  <c r="H11" i="79"/>
  <c r="I11" i="79"/>
  <c r="T14" i="80"/>
  <c r="T16" i="80" s="1"/>
  <c r="I10" i="79" s="1"/>
  <c r="I14" i="79" s="1"/>
  <c r="H10" i="2" l="1"/>
  <c r="H12" i="77"/>
  <c r="I12" i="77"/>
  <c r="I10" i="2"/>
  <c r="E13" i="2"/>
  <c r="F13" i="2"/>
  <c r="G13" i="2"/>
  <c r="H13" i="2"/>
  <c r="I13" i="2"/>
  <c r="E15" i="2"/>
  <c r="F15" i="2"/>
  <c r="G15" i="2"/>
  <c r="H15" i="2"/>
  <c r="I15" i="2"/>
  <c r="E17" i="2"/>
  <c r="F17" i="2"/>
  <c r="G17" i="2"/>
  <c r="H17" i="2"/>
  <c r="I17" i="2"/>
  <c r="E18" i="2"/>
  <c r="F18" i="2"/>
  <c r="G18" i="2"/>
  <c r="H18" i="2"/>
  <c r="I18" i="2"/>
  <c r="E21" i="2"/>
  <c r="F21" i="2"/>
  <c r="G21" i="2"/>
  <c r="H21" i="2"/>
  <c r="I21" i="2"/>
  <c r="D10" i="116"/>
  <c r="E10" i="116"/>
  <c r="F10" i="116"/>
  <c r="G10" i="116"/>
  <c r="H10" i="116"/>
  <c r="I10" i="116"/>
  <c r="J10" i="116"/>
  <c r="K10" i="116"/>
  <c r="L10" i="116"/>
  <c r="M10" i="116"/>
  <c r="N10" i="116"/>
  <c r="O10" i="116"/>
  <c r="P10" i="116"/>
  <c r="W10" i="116"/>
  <c r="X10" i="116"/>
  <c r="Y10" i="116"/>
  <c r="Z10" i="116"/>
  <c r="AA10" i="116"/>
  <c r="D11" i="116"/>
  <c r="E11" i="116"/>
  <c r="F11" i="116"/>
  <c r="G11" i="116"/>
  <c r="H11" i="116"/>
  <c r="I11" i="116"/>
  <c r="J11" i="116"/>
  <c r="K11" i="116"/>
  <c r="L11" i="116"/>
  <c r="M11" i="116"/>
  <c r="N11" i="116"/>
  <c r="O11" i="116"/>
  <c r="P11" i="116"/>
  <c r="W11" i="116"/>
  <c r="X11" i="116"/>
  <c r="Y11" i="116"/>
  <c r="Z11" i="116"/>
  <c r="AA11" i="116"/>
  <c r="D12" i="116"/>
  <c r="E12" i="116"/>
  <c r="F12" i="116"/>
  <c r="G12" i="116"/>
  <c r="H12" i="116"/>
  <c r="I12" i="116"/>
  <c r="J12" i="116"/>
  <c r="K12" i="116"/>
  <c r="L12" i="116"/>
  <c r="M12" i="116"/>
  <c r="N12" i="116"/>
  <c r="O12" i="116"/>
  <c r="P12" i="116"/>
  <c r="W12" i="116"/>
  <c r="X12" i="116"/>
  <c r="Y12" i="116"/>
  <c r="Z12" i="116"/>
  <c r="AA12" i="116"/>
  <c r="D13" i="116"/>
  <c r="E13" i="116"/>
  <c r="F13" i="116"/>
  <c r="G13" i="116"/>
  <c r="H13" i="116"/>
  <c r="I13" i="116"/>
  <c r="J13" i="116"/>
  <c r="K13" i="116"/>
  <c r="L13" i="116"/>
  <c r="M13" i="116"/>
  <c r="N13" i="116"/>
  <c r="O13" i="116"/>
  <c r="P13" i="116"/>
  <c r="W13" i="116"/>
  <c r="X13" i="116"/>
  <c r="Y13" i="116"/>
  <c r="Z13" i="116"/>
  <c r="AA13" i="116"/>
  <c r="D14" i="116"/>
  <c r="E14" i="116"/>
  <c r="F14" i="116"/>
  <c r="G14" i="116"/>
  <c r="H14" i="116"/>
  <c r="I14" i="116"/>
  <c r="J14" i="116"/>
  <c r="K14" i="116"/>
  <c r="L14" i="116"/>
  <c r="M14" i="116"/>
  <c r="N14" i="116"/>
  <c r="O14" i="116"/>
  <c r="P14" i="116"/>
  <c r="W14" i="116"/>
  <c r="X14" i="116"/>
  <c r="Y14" i="116"/>
  <c r="Z14" i="116"/>
  <c r="AA14" i="116"/>
  <c r="D15" i="116"/>
  <c r="E15" i="116"/>
  <c r="F15" i="116"/>
  <c r="G15" i="116"/>
  <c r="H15" i="116"/>
  <c r="I15" i="116"/>
  <c r="J15" i="116"/>
  <c r="K15" i="116"/>
  <c r="L15" i="116"/>
  <c r="M15" i="116"/>
  <c r="N15" i="116"/>
  <c r="O15" i="116"/>
  <c r="P15" i="116"/>
  <c r="W15" i="116"/>
  <c r="X15" i="116"/>
  <c r="Y15" i="116"/>
  <c r="Z15" i="116"/>
  <c r="AA15" i="116"/>
  <c r="D16" i="116"/>
  <c r="E16" i="116"/>
  <c r="F16" i="116"/>
  <c r="G16" i="116"/>
  <c r="H16" i="116"/>
  <c r="I16" i="116"/>
  <c r="J16" i="116"/>
  <c r="K16" i="116"/>
  <c r="L16" i="116"/>
  <c r="M16" i="116"/>
  <c r="N16" i="116"/>
  <c r="O16" i="116"/>
  <c r="P16" i="116"/>
  <c r="W16" i="116"/>
  <c r="X16" i="116"/>
  <c r="Y16" i="116"/>
  <c r="Z16" i="116"/>
  <c r="AA16" i="116"/>
  <c r="D17" i="116"/>
  <c r="E17" i="116"/>
  <c r="F17" i="116"/>
  <c r="G17" i="116"/>
  <c r="H17" i="116"/>
  <c r="I17" i="116"/>
  <c r="J17" i="116"/>
  <c r="K17" i="116"/>
  <c r="L17" i="116"/>
  <c r="M17" i="116"/>
  <c r="N17" i="116"/>
  <c r="O17" i="116"/>
  <c r="P17" i="116"/>
  <c r="W17" i="116"/>
  <c r="X17" i="116"/>
  <c r="Y17" i="116"/>
  <c r="Z17" i="116"/>
  <c r="AA17" i="116"/>
  <c r="D18" i="116"/>
  <c r="E18" i="116"/>
  <c r="F18" i="116"/>
  <c r="G18" i="116"/>
  <c r="H18" i="116"/>
  <c r="I18" i="116"/>
  <c r="J18" i="116"/>
  <c r="K18" i="116"/>
  <c r="L18" i="116"/>
  <c r="M18" i="116"/>
  <c r="N18" i="116"/>
  <c r="O18" i="116"/>
  <c r="P18" i="116"/>
  <c r="W18" i="116"/>
  <c r="X18" i="116"/>
  <c r="Y18" i="116"/>
  <c r="Z18" i="116"/>
  <c r="AA18" i="116"/>
  <c r="D19" i="116"/>
  <c r="E19" i="116"/>
  <c r="F19" i="116"/>
  <c r="G19" i="116"/>
  <c r="H19" i="116"/>
  <c r="I19" i="116"/>
  <c r="J19" i="116"/>
  <c r="K19" i="116"/>
  <c r="L19" i="116"/>
  <c r="M19" i="116"/>
  <c r="N19" i="116"/>
  <c r="O19" i="116"/>
  <c r="P19" i="116"/>
  <c r="W19" i="116"/>
  <c r="X19" i="116"/>
  <c r="Y19" i="116"/>
  <c r="Z19" i="116"/>
  <c r="AA19" i="116"/>
  <c r="D20" i="116"/>
  <c r="E20" i="116"/>
  <c r="F20" i="116"/>
  <c r="G20" i="116"/>
  <c r="H20" i="116"/>
  <c r="I20" i="116"/>
  <c r="J20" i="116"/>
  <c r="K20" i="116"/>
  <c r="L20" i="116"/>
  <c r="M20" i="116"/>
  <c r="N20" i="116"/>
  <c r="O20" i="116"/>
  <c r="P20" i="116"/>
  <c r="W20" i="116"/>
  <c r="X20" i="116"/>
  <c r="Y20" i="116"/>
  <c r="Z20" i="116"/>
  <c r="AA20" i="116"/>
  <c r="D21" i="116"/>
  <c r="E21" i="116"/>
  <c r="F21" i="116"/>
  <c r="G21" i="116"/>
  <c r="H21" i="116"/>
  <c r="I21" i="116"/>
  <c r="J21" i="116"/>
  <c r="K21" i="116"/>
  <c r="L21" i="116"/>
  <c r="M21" i="116"/>
  <c r="N21" i="116"/>
  <c r="O21" i="116"/>
  <c r="P21" i="116"/>
  <c r="W21" i="116"/>
  <c r="X21" i="116"/>
  <c r="Y21" i="116"/>
  <c r="Z21" i="116"/>
  <c r="AA21" i="116"/>
  <c r="D22" i="116"/>
  <c r="E22" i="116"/>
  <c r="F22" i="116"/>
  <c r="G22" i="116"/>
  <c r="H22" i="116"/>
  <c r="I22" i="116"/>
  <c r="J22" i="116"/>
  <c r="K22" i="116"/>
  <c r="L22" i="116"/>
  <c r="M22" i="116"/>
  <c r="N22" i="116"/>
  <c r="O22" i="116"/>
  <c r="P22" i="116"/>
  <c r="W22" i="116"/>
  <c r="X22" i="116"/>
  <c r="Y22" i="116"/>
  <c r="Z22" i="116"/>
  <c r="AA22" i="116"/>
  <c r="D23" i="116"/>
  <c r="E23" i="116"/>
  <c r="F23" i="116"/>
  <c r="G23" i="116"/>
  <c r="H23" i="116"/>
  <c r="I23" i="116"/>
  <c r="J23" i="116"/>
  <c r="K23" i="116"/>
  <c r="L23" i="116"/>
  <c r="M23" i="116"/>
  <c r="N23" i="116"/>
  <c r="O23" i="116"/>
  <c r="P23" i="116"/>
  <c r="W23" i="116"/>
  <c r="X23" i="116"/>
  <c r="Y23" i="116"/>
  <c r="Z23" i="116"/>
  <c r="AA23" i="116"/>
  <c r="D24" i="116"/>
  <c r="E24" i="116"/>
  <c r="F24" i="116"/>
  <c r="G24" i="116"/>
  <c r="H24" i="116"/>
  <c r="I24" i="116"/>
  <c r="J24" i="116"/>
  <c r="K24" i="116"/>
  <c r="L24" i="116"/>
  <c r="M24" i="116"/>
  <c r="N24" i="116"/>
  <c r="O24" i="116"/>
  <c r="P24" i="116"/>
  <c r="W24" i="116"/>
  <c r="X24" i="116"/>
  <c r="Y24" i="116"/>
  <c r="Z24" i="116"/>
  <c r="AA24" i="116"/>
  <c r="D25" i="116"/>
  <c r="E25" i="116"/>
  <c r="F25" i="116"/>
  <c r="G25" i="116"/>
  <c r="H25" i="116"/>
  <c r="I25" i="116"/>
  <c r="J25" i="116"/>
  <c r="K25" i="116"/>
  <c r="L25" i="116"/>
  <c r="M25" i="116"/>
  <c r="N25" i="116"/>
  <c r="O25" i="116"/>
  <c r="P25" i="116"/>
  <c r="W25" i="116"/>
  <c r="X25" i="116"/>
  <c r="Y25" i="116"/>
  <c r="Z25" i="116"/>
  <c r="AA25" i="116"/>
  <c r="D26" i="116"/>
  <c r="E26" i="116"/>
  <c r="F26" i="116"/>
  <c r="G26" i="116"/>
  <c r="H26" i="116"/>
  <c r="I26" i="116"/>
  <c r="J26" i="116"/>
  <c r="K26" i="116"/>
  <c r="L26" i="116"/>
  <c r="M26" i="116"/>
  <c r="N26" i="116"/>
  <c r="O26" i="116"/>
  <c r="P26" i="116"/>
  <c r="W26" i="116"/>
  <c r="X26" i="116"/>
  <c r="Y26" i="116"/>
  <c r="Z26" i="116"/>
  <c r="AA26" i="116"/>
  <c r="D27" i="116"/>
  <c r="E27" i="116"/>
  <c r="F27" i="116"/>
  <c r="G27" i="116"/>
  <c r="H27" i="116"/>
  <c r="I27" i="116"/>
  <c r="J27" i="116"/>
  <c r="K27" i="116"/>
  <c r="L27" i="116"/>
  <c r="M27" i="116"/>
  <c r="N27" i="116"/>
  <c r="O27" i="116"/>
  <c r="P27" i="116"/>
  <c r="W27" i="116"/>
  <c r="X27" i="116"/>
  <c r="Y27" i="116"/>
  <c r="Z27" i="116"/>
  <c r="AA27" i="116"/>
  <c r="D28" i="116"/>
  <c r="W29" i="116"/>
  <c r="X29" i="116"/>
  <c r="Y29" i="116"/>
  <c r="Z29" i="116"/>
  <c r="AA29" i="116"/>
  <c r="W33" i="116"/>
  <c r="X33" i="116"/>
  <c r="Y33" i="116"/>
  <c r="Z33" i="116"/>
  <c r="AA33" i="116"/>
  <c r="W34" i="116"/>
  <c r="X34" i="116"/>
  <c r="Y34" i="116"/>
  <c r="Z34" i="116"/>
  <c r="AA34" i="116"/>
  <c r="W35" i="116"/>
  <c r="X35" i="116"/>
  <c r="Y35" i="116"/>
  <c r="Z35" i="116"/>
  <c r="AA35" i="116"/>
  <c r="D36" i="116"/>
  <c r="E36" i="116"/>
  <c r="F36" i="116"/>
  <c r="G36" i="116"/>
  <c r="H36" i="116"/>
  <c r="I36" i="116"/>
  <c r="J36" i="116"/>
  <c r="K36" i="116"/>
  <c r="L36" i="116"/>
  <c r="M36" i="116"/>
  <c r="N36" i="116"/>
  <c r="O36" i="116"/>
  <c r="P36" i="116"/>
  <c r="W36" i="116"/>
  <c r="X36" i="116"/>
  <c r="Y36" i="116"/>
  <c r="Z36" i="116"/>
  <c r="AA36" i="116"/>
  <c r="W37" i="116"/>
  <c r="X37" i="116"/>
  <c r="Y37" i="116"/>
  <c r="Z37" i="116"/>
  <c r="AA37" i="116"/>
  <c r="W38" i="116"/>
  <c r="X38" i="116"/>
  <c r="Y38" i="116"/>
  <c r="Z38" i="116"/>
  <c r="AA38" i="116"/>
  <c r="W39" i="116"/>
  <c r="X39" i="116"/>
  <c r="Y39" i="116"/>
  <c r="Z39" i="116"/>
  <c r="AA39" i="116"/>
  <c r="W40" i="116"/>
  <c r="X40" i="116"/>
  <c r="Y40" i="116"/>
  <c r="Z40" i="116"/>
  <c r="AA40" i="116"/>
  <c r="W41" i="116"/>
  <c r="X41" i="116"/>
  <c r="Y41" i="116"/>
  <c r="Z41" i="116"/>
  <c r="AA41" i="116"/>
  <c r="W42" i="116"/>
  <c r="X42" i="116"/>
  <c r="Y42" i="116"/>
  <c r="Z42" i="116"/>
  <c r="AA42" i="116"/>
  <c r="W43" i="116"/>
  <c r="X43" i="116"/>
  <c r="Y43" i="116"/>
  <c r="Z43" i="116"/>
  <c r="AA43" i="116"/>
  <c r="D44" i="116"/>
  <c r="E44" i="116"/>
  <c r="F44" i="116"/>
  <c r="G44" i="116"/>
  <c r="H44" i="116"/>
  <c r="I44" i="116"/>
  <c r="J44" i="116"/>
  <c r="K44" i="116"/>
  <c r="L44" i="116"/>
  <c r="M44" i="116"/>
  <c r="N44" i="116"/>
  <c r="O44" i="116"/>
  <c r="P44" i="116"/>
  <c r="W44" i="116"/>
  <c r="X44" i="116"/>
  <c r="Y44" i="116"/>
  <c r="Z44" i="116"/>
  <c r="AA44" i="116"/>
  <c r="D45" i="116"/>
  <c r="E45" i="116"/>
  <c r="F45" i="116"/>
  <c r="G45" i="116"/>
  <c r="H45" i="116"/>
  <c r="I45" i="116"/>
  <c r="J45" i="116"/>
  <c r="K45" i="116"/>
  <c r="L45" i="116"/>
  <c r="M45" i="116"/>
  <c r="N45" i="116"/>
  <c r="O45" i="116"/>
  <c r="P45" i="116"/>
  <c r="W45" i="116"/>
  <c r="X45" i="116"/>
  <c r="Y45" i="116"/>
  <c r="Z45" i="116"/>
  <c r="AA45" i="116"/>
  <c r="D46" i="116"/>
  <c r="E46" i="116"/>
  <c r="F46" i="116"/>
  <c r="G46" i="116"/>
  <c r="H46" i="116"/>
  <c r="I46" i="116"/>
  <c r="J46" i="116"/>
  <c r="K46" i="116"/>
  <c r="L46" i="116"/>
  <c r="M46" i="116"/>
  <c r="N46" i="116"/>
  <c r="O46" i="116"/>
  <c r="P46" i="116"/>
  <c r="W46" i="116"/>
  <c r="X46" i="116"/>
  <c r="Y46" i="116"/>
  <c r="Z46" i="116"/>
  <c r="AA46" i="116"/>
  <c r="D47" i="116"/>
  <c r="E47" i="116"/>
  <c r="F47" i="116"/>
  <c r="G47" i="116"/>
  <c r="H47" i="116"/>
  <c r="I47" i="116"/>
  <c r="J47" i="116"/>
  <c r="K47" i="116"/>
  <c r="L47" i="116"/>
  <c r="M47" i="116"/>
  <c r="N47" i="116"/>
  <c r="O47" i="116"/>
  <c r="P47" i="116"/>
  <c r="W47" i="116"/>
  <c r="X47" i="116"/>
  <c r="Y47" i="116"/>
  <c r="Z47" i="116"/>
  <c r="AA47" i="116"/>
  <c r="D48" i="116"/>
  <c r="E48" i="116"/>
  <c r="F48" i="116"/>
  <c r="G48" i="116"/>
  <c r="H48" i="116"/>
  <c r="I48" i="116"/>
  <c r="J48" i="116"/>
  <c r="K48" i="116"/>
  <c r="L48" i="116"/>
  <c r="M48" i="116"/>
  <c r="N48" i="116"/>
  <c r="O48" i="116"/>
  <c r="P48" i="116"/>
  <c r="W48" i="116"/>
  <c r="X48" i="116"/>
  <c r="Y48" i="116"/>
  <c r="Z48" i="116"/>
  <c r="AA48" i="116"/>
  <c r="D49" i="116"/>
  <c r="E49" i="116"/>
  <c r="F49" i="116"/>
  <c r="G49" i="116"/>
  <c r="H49" i="116"/>
  <c r="I49" i="116"/>
  <c r="J49" i="116"/>
  <c r="K49" i="116"/>
  <c r="L49" i="116"/>
  <c r="M49" i="116"/>
  <c r="N49" i="116"/>
  <c r="O49" i="116"/>
  <c r="P49" i="116"/>
  <c r="W49" i="116"/>
  <c r="X49" i="116"/>
  <c r="Y49" i="116"/>
  <c r="Z49" i="116"/>
  <c r="AA49" i="116"/>
  <c r="D50" i="116"/>
  <c r="E50" i="116"/>
  <c r="F50" i="116"/>
  <c r="G50" i="116"/>
  <c r="H50" i="116"/>
  <c r="I50" i="116"/>
  <c r="J50" i="116"/>
  <c r="K50" i="116"/>
  <c r="L50" i="116"/>
  <c r="M50" i="116"/>
  <c r="N50" i="116"/>
  <c r="O50" i="116"/>
  <c r="P50" i="116"/>
  <c r="W50" i="116"/>
  <c r="X50" i="116"/>
  <c r="Y50" i="116"/>
  <c r="Z50" i="116"/>
  <c r="AA50" i="116"/>
  <c r="D51" i="116"/>
  <c r="E51" i="116"/>
  <c r="F51" i="116"/>
  <c r="G51" i="116"/>
  <c r="H51" i="116"/>
  <c r="I51" i="116"/>
  <c r="J51" i="116"/>
  <c r="K51" i="116"/>
  <c r="L51" i="116"/>
  <c r="M51" i="116"/>
  <c r="N51" i="116"/>
  <c r="O51" i="116"/>
  <c r="P51" i="116"/>
  <c r="W51" i="116"/>
  <c r="X51" i="116"/>
  <c r="Y51" i="116"/>
  <c r="Z51" i="116"/>
  <c r="AA51" i="116"/>
  <c r="D52" i="116"/>
  <c r="E52" i="116"/>
  <c r="F52" i="116"/>
  <c r="G52" i="116"/>
  <c r="H52" i="116"/>
  <c r="I52" i="116"/>
  <c r="J52" i="116"/>
  <c r="K52" i="116"/>
  <c r="L52" i="116"/>
  <c r="M52" i="116"/>
  <c r="N52" i="116"/>
  <c r="O52" i="116"/>
  <c r="P52" i="116"/>
  <c r="D53" i="116"/>
  <c r="E53" i="116"/>
  <c r="F53" i="116"/>
  <c r="G53" i="116"/>
  <c r="H53" i="116"/>
  <c r="I53" i="116"/>
  <c r="J53" i="116"/>
  <c r="K53" i="116"/>
  <c r="L53" i="116"/>
  <c r="M53" i="116"/>
  <c r="N53" i="116"/>
  <c r="O53" i="116"/>
  <c r="P53" i="116"/>
  <c r="D54" i="116"/>
  <c r="E54" i="116"/>
  <c r="F54" i="116"/>
  <c r="G54" i="116"/>
  <c r="H54" i="116"/>
  <c r="I54" i="116"/>
  <c r="J54" i="116"/>
  <c r="K54" i="116"/>
  <c r="L54" i="116"/>
  <c r="M54" i="116"/>
  <c r="N54" i="116"/>
  <c r="O54" i="116"/>
  <c r="P54" i="116"/>
  <c r="D55" i="116"/>
  <c r="E55" i="116"/>
  <c r="F55" i="116"/>
  <c r="G55" i="116"/>
  <c r="H55" i="116"/>
  <c r="I55" i="116"/>
  <c r="J55" i="116"/>
  <c r="K55" i="116"/>
  <c r="L55" i="116"/>
  <c r="M55" i="116"/>
  <c r="N55" i="116"/>
  <c r="O55" i="116"/>
  <c r="P55" i="116"/>
  <c r="D56" i="116"/>
  <c r="E56" i="116"/>
  <c r="F56" i="116"/>
  <c r="G56" i="116"/>
  <c r="H56" i="116"/>
  <c r="I56" i="116"/>
  <c r="J56" i="116"/>
  <c r="K56" i="116"/>
  <c r="L56" i="116"/>
  <c r="M56" i="116"/>
  <c r="N56" i="116"/>
  <c r="O56" i="116"/>
  <c r="P56" i="116"/>
  <c r="D57" i="116"/>
  <c r="E57" i="116"/>
  <c r="F57" i="116"/>
  <c r="G57" i="116"/>
  <c r="H57" i="116"/>
  <c r="I57" i="116"/>
  <c r="J57" i="116"/>
  <c r="K57" i="116"/>
  <c r="L57" i="116"/>
  <c r="M57" i="116"/>
  <c r="N57" i="116"/>
  <c r="O57" i="116"/>
  <c r="P57" i="116"/>
  <c r="D58" i="116"/>
  <c r="E58" i="116"/>
  <c r="F58" i="116"/>
  <c r="G58" i="116"/>
  <c r="H58" i="116"/>
  <c r="I58" i="116"/>
  <c r="J58" i="116"/>
  <c r="K58" i="116"/>
  <c r="L58" i="116"/>
  <c r="M58" i="116"/>
  <c r="N58" i="116"/>
  <c r="O58" i="116"/>
  <c r="P58" i="116"/>
  <c r="D59" i="116"/>
  <c r="E59" i="116"/>
  <c r="F59" i="116"/>
  <c r="G59" i="116"/>
  <c r="H59" i="116"/>
  <c r="I59" i="116"/>
  <c r="J59" i="116"/>
  <c r="K59" i="116"/>
  <c r="L59" i="116"/>
  <c r="M59" i="116"/>
  <c r="N59" i="116"/>
  <c r="O59" i="116"/>
  <c r="P59" i="116"/>
  <c r="D60" i="116"/>
  <c r="E60" i="116"/>
  <c r="F60" i="116"/>
  <c r="G60" i="116"/>
  <c r="H60" i="116"/>
  <c r="I60" i="116"/>
  <c r="J60" i="116"/>
  <c r="K60" i="116"/>
  <c r="L60" i="116"/>
  <c r="M60" i="116"/>
  <c r="N60" i="116"/>
  <c r="O60" i="116"/>
  <c r="P60" i="116"/>
  <c r="D61" i="116"/>
  <c r="E61" i="116"/>
  <c r="F61" i="116"/>
  <c r="G61" i="116"/>
  <c r="H61" i="116"/>
  <c r="I61" i="116"/>
  <c r="J61" i="116"/>
  <c r="K61" i="116"/>
  <c r="L61" i="116"/>
  <c r="M61" i="116"/>
  <c r="N61" i="116"/>
  <c r="O61" i="116"/>
  <c r="P61" i="116"/>
  <c r="D62" i="116"/>
  <c r="E62" i="116"/>
  <c r="F62" i="116"/>
  <c r="G62" i="116"/>
  <c r="H62" i="116"/>
  <c r="I62" i="116"/>
  <c r="J62" i="116"/>
  <c r="K62" i="116"/>
  <c r="L62" i="116"/>
  <c r="M62" i="116"/>
  <c r="N62" i="116"/>
  <c r="O62" i="116"/>
  <c r="P62" i="116"/>
  <c r="D68" i="116"/>
  <c r="E68" i="116"/>
  <c r="F68" i="116"/>
  <c r="G68" i="116"/>
  <c r="H68" i="116"/>
  <c r="I68" i="116"/>
  <c r="J68" i="116"/>
  <c r="K68" i="116"/>
  <c r="L68" i="116"/>
  <c r="M68" i="116"/>
  <c r="N68" i="116"/>
  <c r="O68" i="116"/>
  <c r="P68" i="116"/>
  <c r="D75" i="116"/>
  <c r="E75" i="116"/>
  <c r="F75" i="116"/>
  <c r="G75" i="116"/>
  <c r="H75" i="116"/>
  <c r="I75" i="116"/>
  <c r="J75" i="116"/>
  <c r="K75" i="116"/>
  <c r="L75" i="116"/>
  <c r="M75" i="116"/>
  <c r="N75" i="116"/>
  <c r="O75" i="116"/>
  <c r="P75" i="116"/>
  <c r="D76" i="116"/>
  <c r="E76" i="116"/>
  <c r="F76" i="116"/>
  <c r="G76" i="116"/>
  <c r="H76" i="116"/>
  <c r="I76" i="116"/>
  <c r="J76" i="116"/>
  <c r="K76" i="116"/>
  <c r="L76" i="116"/>
  <c r="M76" i="116"/>
  <c r="N76" i="116"/>
  <c r="O76" i="116"/>
  <c r="P76" i="116"/>
  <c r="D77" i="116"/>
  <c r="E77" i="116"/>
  <c r="F77" i="116"/>
  <c r="G77" i="116"/>
  <c r="H77" i="116"/>
  <c r="I77" i="116"/>
  <c r="J77" i="116"/>
  <c r="K77" i="116"/>
  <c r="L77" i="116"/>
  <c r="M77" i="116"/>
  <c r="N77" i="116"/>
  <c r="O77" i="116"/>
  <c r="P77" i="116"/>
  <c r="D78" i="116"/>
  <c r="E78" i="116"/>
  <c r="F78" i="116"/>
  <c r="G78" i="116"/>
  <c r="H78" i="116"/>
  <c r="I78" i="116"/>
  <c r="J78" i="116"/>
  <c r="K78" i="116"/>
  <c r="L78" i="116"/>
  <c r="M78" i="116"/>
  <c r="N78" i="116"/>
  <c r="O78" i="116"/>
  <c r="P78" i="116"/>
  <c r="D79" i="116"/>
  <c r="E79" i="116"/>
  <c r="F79" i="116"/>
  <c r="G79" i="116"/>
  <c r="H79" i="116"/>
  <c r="I79" i="116"/>
  <c r="J79" i="116"/>
  <c r="K79" i="116"/>
  <c r="L79" i="116"/>
  <c r="M79" i="116"/>
  <c r="N79" i="116"/>
  <c r="O79" i="116"/>
  <c r="P79" i="116"/>
  <c r="D80" i="116"/>
  <c r="E80" i="116"/>
  <c r="F80" i="116"/>
  <c r="G80" i="116"/>
  <c r="H80" i="116"/>
  <c r="I80" i="116"/>
  <c r="J80" i="116"/>
  <c r="K80" i="116"/>
  <c r="L80" i="116"/>
  <c r="M80" i="116"/>
  <c r="N80" i="116"/>
  <c r="O80" i="116"/>
  <c r="P80" i="116"/>
  <c r="D81" i="116"/>
  <c r="E81" i="116"/>
  <c r="F81" i="116"/>
  <c r="G81" i="116"/>
  <c r="H81" i="116"/>
  <c r="I81" i="116"/>
  <c r="J81" i="116"/>
  <c r="K81" i="116"/>
  <c r="L81" i="116"/>
  <c r="M81" i="116"/>
  <c r="N81" i="116"/>
  <c r="O81" i="116"/>
  <c r="P81" i="116"/>
  <c r="D82" i="116"/>
  <c r="E82" i="116"/>
  <c r="F82" i="116"/>
  <c r="G82" i="116"/>
  <c r="H82" i="116"/>
  <c r="I82" i="116"/>
  <c r="J82" i="116"/>
  <c r="K82" i="116"/>
  <c r="L82" i="116"/>
  <c r="M82" i="116"/>
  <c r="N82" i="116"/>
  <c r="O82" i="116"/>
  <c r="P82" i="116"/>
  <c r="D83" i="116"/>
  <c r="E83" i="116"/>
  <c r="F83" i="116"/>
  <c r="G83" i="116"/>
  <c r="H83" i="116"/>
  <c r="I83" i="116"/>
  <c r="J83" i="116"/>
  <c r="K83" i="116"/>
  <c r="L83" i="116"/>
  <c r="M83" i="116"/>
  <c r="N83" i="116"/>
  <c r="O83" i="116"/>
  <c r="P83" i="116"/>
  <c r="D84" i="116"/>
  <c r="E84" i="116"/>
  <c r="F84" i="116"/>
  <c r="G84" i="116"/>
  <c r="H84" i="116"/>
  <c r="I84" i="116"/>
  <c r="J84" i="116"/>
  <c r="K84" i="116"/>
  <c r="L84" i="116"/>
  <c r="M84" i="116"/>
  <c r="N84" i="116"/>
  <c r="O84" i="116"/>
  <c r="P84" i="116"/>
  <c r="D85" i="116"/>
  <c r="E85" i="116"/>
  <c r="F85" i="116"/>
  <c r="G85" i="116"/>
  <c r="H85" i="116"/>
  <c r="I85" i="116"/>
  <c r="J85" i="116"/>
  <c r="K85" i="116"/>
  <c r="L85" i="116"/>
  <c r="M85" i="116"/>
  <c r="N85" i="116"/>
  <c r="O85" i="116"/>
  <c r="P85" i="116"/>
  <c r="D86" i="116"/>
  <c r="E86" i="116"/>
  <c r="F86" i="116"/>
  <c r="G86" i="116"/>
  <c r="H86" i="116"/>
  <c r="I86" i="116"/>
  <c r="J86" i="116"/>
  <c r="K86" i="116"/>
  <c r="L86" i="116"/>
  <c r="M86" i="116"/>
  <c r="N86" i="116"/>
  <c r="O86" i="116"/>
  <c r="P86" i="116"/>
  <c r="D87" i="116"/>
  <c r="E87" i="116"/>
  <c r="F87" i="116"/>
  <c r="G87" i="116"/>
  <c r="H87" i="116"/>
  <c r="I87" i="116"/>
  <c r="J87" i="116"/>
  <c r="K87" i="116"/>
  <c r="L87" i="116"/>
  <c r="M87" i="116"/>
  <c r="N87" i="116"/>
  <c r="O87" i="116"/>
  <c r="P87" i="116"/>
  <c r="D88" i="116"/>
  <c r="E88" i="116"/>
  <c r="F88" i="116"/>
  <c r="G88" i="116"/>
  <c r="H88" i="116"/>
  <c r="I88" i="116"/>
  <c r="J88" i="116"/>
  <c r="K88" i="116"/>
  <c r="L88" i="116"/>
  <c r="M88" i="116"/>
  <c r="N88" i="116"/>
  <c r="O88" i="116"/>
  <c r="P88" i="116"/>
  <c r="D89" i="116"/>
  <c r="E89" i="116"/>
  <c r="F89" i="116"/>
  <c r="G89" i="116"/>
  <c r="H89" i="116"/>
  <c r="I89" i="116"/>
  <c r="J89" i="116"/>
  <c r="K89" i="116"/>
  <c r="L89" i="116"/>
  <c r="M89" i="116"/>
  <c r="N89" i="116"/>
  <c r="O89" i="116"/>
  <c r="P89" i="116"/>
  <c r="D90" i="116"/>
  <c r="E90" i="116"/>
  <c r="F90" i="116"/>
  <c r="G90" i="116"/>
  <c r="H90" i="116"/>
  <c r="I90" i="116"/>
  <c r="J90" i="116"/>
  <c r="K90" i="116"/>
  <c r="L90" i="116"/>
  <c r="M90" i="116"/>
  <c r="N90" i="116"/>
  <c r="O90" i="116"/>
  <c r="P90" i="116"/>
  <c r="D91" i="116"/>
  <c r="E91" i="116"/>
  <c r="F91" i="116"/>
  <c r="G91" i="116"/>
  <c r="H91" i="116"/>
  <c r="I91" i="116"/>
  <c r="J91" i="116"/>
  <c r="K91" i="116"/>
  <c r="L91" i="116"/>
  <c r="M91" i="116"/>
  <c r="N91" i="116"/>
  <c r="O91" i="116"/>
  <c r="P91" i="116"/>
  <c r="D92" i="116"/>
  <c r="E92" i="116"/>
  <c r="F92" i="116"/>
  <c r="G92" i="116"/>
  <c r="H92" i="116"/>
  <c r="I92" i="116"/>
  <c r="J92" i="116"/>
  <c r="K92" i="116"/>
  <c r="L92" i="116"/>
  <c r="M92" i="116"/>
  <c r="N92" i="116"/>
  <c r="O92" i="116"/>
  <c r="P92" i="116"/>
  <c r="D93" i="116"/>
  <c r="E93" i="116"/>
  <c r="F93" i="116"/>
  <c r="G93" i="116"/>
  <c r="H93" i="116"/>
  <c r="I93" i="116"/>
  <c r="J93" i="116"/>
  <c r="K93" i="116"/>
  <c r="L93" i="116"/>
  <c r="M93" i="116"/>
  <c r="N93" i="116"/>
  <c r="O93" i="116"/>
  <c r="P93" i="116"/>
  <c r="D100" i="116"/>
  <c r="E100" i="116"/>
  <c r="F100" i="116"/>
  <c r="G100" i="116"/>
  <c r="H100" i="116"/>
  <c r="I100" i="116"/>
  <c r="J100" i="116"/>
  <c r="K100" i="116"/>
  <c r="L100" i="116"/>
  <c r="M100" i="116"/>
  <c r="N100" i="116"/>
  <c r="O100" i="116"/>
  <c r="P100" i="116"/>
  <c r="D107" i="116"/>
  <c r="E107" i="116"/>
  <c r="F107" i="116"/>
  <c r="G107" i="116"/>
  <c r="H107" i="116"/>
  <c r="I107" i="116"/>
  <c r="J107" i="116"/>
  <c r="K107" i="116"/>
  <c r="L107" i="116"/>
  <c r="M107" i="116"/>
  <c r="N107" i="116"/>
  <c r="O107" i="116"/>
  <c r="P107" i="116"/>
  <c r="D108" i="116"/>
  <c r="E108" i="116"/>
  <c r="F108" i="116"/>
  <c r="G108" i="116"/>
  <c r="H108" i="116"/>
  <c r="I108" i="116"/>
  <c r="J108" i="116"/>
  <c r="K108" i="116"/>
  <c r="L108" i="116"/>
  <c r="M108" i="116"/>
  <c r="N108" i="116"/>
  <c r="O108" i="116"/>
  <c r="P108" i="116"/>
  <c r="D109" i="116"/>
  <c r="E109" i="116"/>
  <c r="F109" i="116"/>
  <c r="G109" i="116"/>
  <c r="H109" i="116"/>
  <c r="I109" i="116"/>
  <c r="J109" i="116"/>
  <c r="K109" i="116"/>
  <c r="L109" i="116"/>
  <c r="M109" i="116"/>
  <c r="N109" i="116"/>
  <c r="O109" i="116"/>
  <c r="P109" i="116"/>
  <c r="D110" i="116"/>
  <c r="E110" i="116"/>
  <c r="F110" i="116"/>
  <c r="G110" i="116"/>
  <c r="H110" i="116"/>
  <c r="I110" i="116"/>
  <c r="J110" i="116"/>
  <c r="K110" i="116"/>
  <c r="L110" i="116"/>
  <c r="M110" i="116"/>
  <c r="N110" i="116"/>
  <c r="O110" i="116"/>
  <c r="P110" i="116"/>
  <c r="D111" i="116"/>
  <c r="E111" i="116"/>
  <c r="F111" i="116"/>
  <c r="G111" i="116"/>
  <c r="H111" i="116"/>
  <c r="I111" i="116"/>
  <c r="J111" i="116"/>
  <c r="K111" i="116"/>
  <c r="L111" i="116"/>
  <c r="M111" i="116"/>
  <c r="N111" i="116"/>
  <c r="O111" i="116"/>
  <c r="P111" i="116"/>
  <c r="D112" i="116"/>
  <c r="E112" i="116"/>
  <c r="F112" i="116"/>
  <c r="G112" i="116"/>
  <c r="H112" i="116"/>
  <c r="I112" i="116"/>
  <c r="J112" i="116"/>
  <c r="K112" i="116"/>
  <c r="L112" i="116"/>
  <c r="M112" i="116"/>
  <c r="N112" i="116"/>
  <c r="O112" i="116"/>
  <c r="P112" i="116"/>
  <c r="D113" i="116"/>
  <c r="E113" i="116"/>
  <c r="F113" i="116"/>
  <c r="G113" i="116"/>
  <c r="H113" i="116"/>
  <c r="I113" i="116"/>
  <c r="J113" i="116"/>
  <c r="K113" i="116"/>
  <c r="L113" i="116"/>
  <c r="M113" i="116"/>
  <c r="N113" i="116"/>
  <c r="O113" i="116"/>
  <c r="P113" i="116"/>
  <c r="D114" i="116"/>
  <c r="E114" i="116"/>
  <c r="F114" i="116"/>
  <c r="G114" i="116"/>
  <c r="H114" i="116"/>
  <c r="I114" i="116"/>
  <c r="J114" i="116"/>
  <c r="K114" i="116"/>
  <c r="L114" i="116"/>
  <c r="M114" i="116"/>
  <c r="N114" i="116"/>
  <c r="O114" i="116"/>
  <c r="P114" i="116"/>
  <c r="D115" i="116"/>
  <c r="E115" i="116"/>
  <c r="F115" i="116"/>
  <c r="G115" i="116"/>
  <c r="H115" i="116"/>
  <c r="I115" i="116"/>
  <c r="J115" i="116"/>
  <c r="K115" i="116"/>
  <c r="L115" i="116"/>
  <c r="M115" i="116"/>
  <c r="N115" i="116"/>
  <c r="O115" i="116"/>
  <c r="P115" i="116"/>
  <c r="D116" i="116"/>
  <c r="E116" i="116"/>
  <c r="F116" i="116"/>
  <c r="G116" i="116"/>
  <c r="H116" i="116"/>
  <c r="I116" i="116"/>
  <c r="J116" i="116"/>
  <c r="K116" i="116"/>
  <c r="L116" i="116"/>
  <c r="M116" i="116"/>
  <c r="N116" i="116"/>
  <c r="O116" i="116"/>
  <c r="P116" i="116"/>
  <c r="D117" i="116"/>
  <c r="E117" i="116"/>
  <c r="F117" i="116"/>
  <c r="G117" i="116"/>
  <c r="H117" i="116"/>
  <c r="I117" i="116"/>
  <c r="J117" i="116"/>
  <c r="K117" i="116"/>
  <c r="L117" i="116"/>
  <c r="M117" i="116"/>
  <c r="N117" i="116"/>
  <c r="O117" i="116"/>
  <c r="P117" i="116"/>
  <c r="D118" i="116"/>
  <c r="E118" i="116"/>
  <c r="F118" i="116"/>
  <c r="G118" i="116"/>
  <c r="H118" i="116"/>
  <c r="I118" i="116"/>
  <c r="J118" i="116"/>
  <c r="K118" i="116"/>
  <c r="L118" i="116"/>
  <c r="M118" i="116"/>
  <c r="N118" i="116"/>
  <c r="O118" i="116"/>
  <c r="P118" i="116"/>
  <c r="D119" i="116"/>
  <c r="E119" i="116"/>
  <c r="F119" i="116"/>
  <c r="G119" i="116"/>
  <c r="H119" i="116"/>
  <c r="I119" i="116"/>
  <c r="J119" i="116"/>
  <c r="K119" i="116"/>
  <c r="L119" i="116"/>
  <c r="M119" i="116"/>
  <c r="N119" i="116"/>
  <c r="O119" i="116"/>
  <c r="P119" i="116"/>
  <c r="D120" i="116"/>
  <c r="E120" i="116"/>
  <c r="F120" i="116"/>
  <c r="G120" i="116"/>
  <c r="H120" i="116"/>
  <c r="I120" i="116"/>
  <c r="J120" i="116"/>
  <c r="K120" i="116"/>
  <c r="L120" i="116"/>
  <c r="M120" i="116"/>
  <c r="N120" i="116"/>
  <c r="O120" i="116"/>
  <c r="P120" i="116"/>
  <c r="D121" i="116"/>
  <c r="E121" i="116"/>
  <c r="F121" i="116"/>
  <c r="G121" i="116"/>
  <c r="H121" i="116"/>
  <c r="I121" i="116"/>
  <c r="J121" i="116"/>
  <c r="K121" i="116"/>
  <c r="L121" i="116"/>
  <c r="M121" i="116"/>
  <c r="N121" i="116"/>
  <c r="O121" i="116"/>
  <c r="P121" i="116"/>
  <c r="D122" i="116"/>
  <c r="E122" i="116"/>
  <c r="F122" i="116"/>
  <c r="G122" i="116"/>
  <c r="H122" i="116"/>
  <c r="I122" i="116"/>
  <c r="J122" i="116"/>
  <c r="K122" i="116"/>
  <c r="L122" i="116"/>
  <c r="M122" i="116"/>
  <c r="N122" i="116"/>
  <c r="O122" i="116"/>
  <c r="P122" i="116"/>
  <c r="D123" i="116"/>
  <c r="E123" i="116"/>
  <c r="F123" i="116"/>
  <c r="G123" i="116"/>
  <c r="H123" i="116"/>
  <c r="I123" i="116"/>
  <c r="J123" i="116"/>
  <c r="K123" i="116"/>
  <c r="L123" i="116"/>
  <c r="M123" i="116"/>
  <c r="N123" i="116"/>
  <c r="O123" i="116"/>
  <c r="P123" i="116"/>
  <c r="D124" i="116"/>
  <c r="E124" i="116"/>
  <c r="F124" i="116"/>
  <c r="G124" i="116"/>
  <c r="H124" i="116"/>
  <c r="I124" i="116"/>
  <c r="J124" i="116"/>
  <c r="K124" i="116"/>
  <c r="L124" i="116"/>
  <c r="M124" i="116"/>
  <c r="N124" i="116"/>
  <c r="O124" i="116"/>
  <c r="P124" i="116"/>
  <c r="D125" i="116"/>
  <c r="E125" i="116"/>
  <c r="F125" i="116"/>
  <c r="G125" i="116"/>
  <c r="H125" i="116"/>
  <c r="I125" i="116"/>
  <c r="J125" i="116"/>
  <c r="K125" i="116"/>
  <c r="L125" i="116"/>
  <c r="M125" i="116"/>
  <c r="N125" i="116"/>
  <c r="O125" i="116"/>
  <c r="P125" i="116"/>
  <c r="D132" i="116"/>
  <c r="E132" i="116"/>
  <c r="F132" i="116"/>
  <c r="G132" i="116"/>
  <c r="H132" i="116"/>
  <c r="I132" i="116"/>
  <c r="J132" i="116"/>
  <c r="K132" i="116"/>
  <c r="L132" i="116"/>
  <c r="M132" i="116"/>
  <c r="N132" i="116"/>
  <c r="O132" i="116"/>
  <c r="P132" i="116"/>
  <c r="D139" i="116"/>
  <c r="E139" i="116"/>
  <c r="F139" i="116"/>
  <c r="G139" i="116"/>
  <c r="H139" i="116"/>
  <c r="I139" i="116"/>
  <c r="J139" i="116"/>
  <c r="K139" i="116"/>
  <c r="L139" i="116"/>
  <c r="M139" i="116"/>
  <c r="N139" i="116"/>
  <c r="O139" i="116"/>
  <c r="P139" i="116"/>
  <c r="D140" i="116"/>
  <c r="E140" i="116"/>
  <c r="F140" i="116"/>
  <c r="G140" i="116"/>
  <c r="H140" i="116"/>
  <c r="I140" i="116"/>
  <c r="J140" i="116"/>
  <c r="K140" i="116"/>
  <c r="L140" i="116"/>
  <c r="M140" i="116"/>
  <c r="N140" i="116"/>
  <c r="O140" i="116"/>
  <c r="P140" i="116"/>
  <c r="D141" i="116"/>
  <c r="E141" i="116"/>
  <c r="F141" i="116"/>
  <c r="G141" i="116"/>
  <c r="H141" i="116"/>
  <c r="I141" i="116"/>
  <c r="J141" i="116"/>
  <c r="K141" i="116"/>
  <c r="L141" i="116"/>
  <c r="M141" i="116"/>
  <c r="N141" i="116"/>
  <c r="O141" i="116"/>
  <c r="P141" i="116"/>
  <c r="D142" i="116"/>
  <c r="E142" i="116"/>
  <c r="F142" i="116"/>
  <c r="G142" i="116"/>
  <c r="H142" i="116"/>
  <c r="I142" i="116"/>
  <c r="J142" i="116"/>
  <c r="K142" i="116"/>
  <c r="L142" i="116"/>
  <c r="M142" i="116"/>
  <c r="N142" i="116"/>
  <c r="O142" i="116"/>
  <c r="P142" i="116"/>
  <c r="D143" i="116"/>
  <c r="E143" i="116"/>
  <c r="F143" i="116"/>
  <c r="G143" i="116"/>
  <c r="H143" i="116"/>
  <c r="I143" i="116"/>
  <c r="J143" i="116"/>
  <c r="K143" i="116"/>
  <c r="L143" i="116"/>
  <c r="M143" i="116"/>
  <c r="N143" i="116"/>
  <c r="O143" i="116"/>
  <c r="P143" i="116"/>
  <c r="D144" i="116"/>
  <c r="E144" i="116"/>
  <c r="F144" i="116"/>
  <c r="G144" i="116"/>
  <c r="H144" i="116"/>
  <c r="I144" i="116"/>
  <c r="J144" i="116"/>
  <c r="K144" i="116"/>
  <c r="L144" i="116"/>
  <c r="M144" i="116"/>
  <c r="N144" i="116"/>
  <c r="O144" i="116"/>
  <c r="P144" i="116"/>
  <c r="D145" i="116"/>
  <c r="E145" i="116"/>
  <c r="F145" i="116"/>
  <c r="G145" i="116"/>
  <c r="H145" i="116"/>
  <c r="I145" i="116"/>
  <c r="J145" i="116"/>
  <c r="K145" i="116"/>
  <c r="L145" i="116"/>
  <c r="M145" i="116"/>
  <c r="N145" i="116"/>
  <c r="O145" i="116"/>
  <c r="P145" i="116"/>
  <c r="D146" i="116"/>
  <c r="E146" i="116"/>
  <c r="F146" i="116"/>
  <c r="G146" i="116"/>
  <c r="H146" i="116"/>
  <c r="I146" i="116"/>
  <c r="J146" i="116"/>
  <c r="K146" i="116"/>
  <c r="L146" i="116"/>
  <c r="M146" i="116"/>
  <c r="N146" i="116"/>
  <c r="O146" i="116"/>
  <c r="P146" i="116"/>
  <c r="D147" i="116"/>
  <c r="E147" i="116"/>
  <c r="F147" i="116"/>
  <c r="G147" i="116"/>
  <c r="H147" i="116"/>
  <c r="I147" i="116"/>
  <c r="J147" i="116"/>
  <c r="K147" i="116"/>
  <c r="L147" i="116"/>
  <c r="M147" i="116"/>
  <c r="N147" i="116"/>
  <c r="O147" i="116"/>
  <c r="P147" i="116"/>
  <c r="D148" i="116"/>
  <c r="E148" i="116"/>
  <c r="F148" i="116"/>
  <c r="G148" i="116"/>
  <c r="H148" i="116"/>
  <c r="I148" i="116"/>
  <c r="J148" i="116"/>
  <c r="K148" i="116"/>
  <c r="L148" i="116"/>
  <c r="M148" i="116"/>
  <c r="N148" i="116"/>
  <c r="O148" i="116"/>
  <c r="P148" i="116"/>
  <c r="D149" i="116"/>
  <c r="E149" i="116"/>
  <c r="F149" i="116"/>
  <c r="G149" i="116"/>
  <c r="H149" i="116"/>
  <c r="I149" i="116"/>
  <c r="J149" i="116"/>
  <c r="K149" i="116"/>
  <c r="L149" i="116"/>
  <c r="M149" i="116"/>
  <c r="N149" i="116"/>
  <c r="O149" i="116"/>
  <c r="P149" i="116"/>
  <c r="D150" i="116"/>
  <c r="E150" i="116"/>
  <c r="F150" i="116"/>
  <c r="G150" i="116"/>
  <c r="H150" i="116"/>
  <c r="I150" i="116"/>
  <c r="J150" i="116"/>
  <c r="K150" i="116"/>
  <c r="L150" i="116"/>
  <c r="M150" i="116"/>
  <c r="N150" i="116"/>
  <c r="O150" i="116"/>
  <c r="P150" i="116"/>
  <c r="D151" i="116"/>
  <c r="E151" i="116"/>
  <c r="F151" i="116"/>
  <c r="G151" i="116"/>
  <c r="H151" i="116"/>
  <c r="I151" i="116"/>
  <c r="J151" i="116"/>
  <c r="K151" i="116"/>
  <c r="L151" i="116"/>
  <c r="M151" i="116"/>
  <c r="N151" i="116"/>
  <c r="O151" i="116"/>
  <c r="P151" i="116"/>
  <c r="D152" i="116"/>
  <c r="E152" i="116"/>
  <c r="F152" i="116"/>
  <c r="G152" i="116"/>
  <c r="H152" i="116"/>
  <c r="I152" i="116"/>
  <c r="J152" i="116"/>
  <c r="K152" i="116"/>
  <c r="L152" i="116"/>
  <c r="M152" i="116"/>
  <c r="N152" i="116"/>
  <c r="O152" i="116"/>
  <c r="P152" i="116"/>
  <c r="D153" i="116"/>
  <c r="E153" i="116"/>
  <c r="F153" i="116"/>
  <c r="G153" i="116"/>
  <c r="H153" i="116"/>
  <c r="I153" i="116"/>
  <c r="J153" i="116"/>
  <c r="K153" i="116"/>
  <c r="L153" i="116"/>
  <c r="M153" i="116"/>
  <c r="N153" i="116"/>
  <c r="O153" i="116"/>
  <c r="P153" i="116"/>
  <c r="D154" i="116"/>
  <c r="E154" i="116"/>
  <c r="F154" i="116"/>
  <c r="G154" i="116"/>
  <c r="H154" i="116"/>
  <c r="I154" i="116"/>
  <c r="J154" i="116"/>
  <c r="K154" i="116"/>
  <c r="L154" i="116"/>
  <c r="M154" i="116"/>
  <c r="N154" i="116"/>
  <c r="O154" i="116"/>
  <c r="P154" i="116"/>
  <c r="D155" i="116"/>
  <c r="E155" i="116"/>
  <c r="F155" i="116"/>
  <c r="G155" i="116"/>
  <c r="H155" i="116"/>
  <c r="I155" i="116"/>
  <c r="J155" i="116"/>
  <c r="K155" i="116"/>
  <c r="L155" i="116"/>
  <c r="M155" i="116"/>
  <c r="N155" i="116"/>
  <c r="O155" i="116"/>
  <c r="P155" i="116"/>
  <c r="D156" i="116"/>
  <c r="E156" i="116"/>
  <c r="F156" i="116"/>
  <c r="G156" i="116"/>
  <c r="H156" i="116"/>
  <c r="I156" i="116"/>
  <c r="J156" i="116"/>
  <c r="K156" i="116"/>
  <c r="L156" i="116"/>
  <c r="M156" i="116"/>
  <c r="N156" i="116"/>
  <c r="O156" i="116"/>
  <c r="P156" i="116"/>
  <c r="D157" i="116"/>
  <c r="E157" i="116"/>
  <c r="F157" i="116"/>
  <c r="G157" i="116"/>
  <c r="H157" i="116"/>
  <c r="I157" i="116"/>
  <c r="J157" i="116"/>
  <c r="K157" i="116"/>
  <c r="L157" i="116"/>
  <c r="M157" i="116"/>
  <c r="N157" i="116"/>
  <c r="O157" i="116"/>
  <c r="P157" i="116"/>
  <c r="D164" i="116"/>
  <c r="E164" i="116"/>
  <c r="F164" i="116"/>
  <c r="G164" i="116"/>
  <c r="H164" i="116"/>
  <c r="I164" i="116"/>
  <c r="J164" i="116"/>
  <c r="K164" i="116"/>
  <c r="L164" i="116"/>
  <c r="M164" i="116"/>
  <c r="N164" i="116"/>
  <c r="O164" i="116"/>
  <c r="P164" i="116"/>
  <c r="D10" i="112"/>
  <c r="E10" i="112"/>
  <c r="F10" i="112"/>
  <c r="G10" i="112"/>
  <c r="H10" i="112"/>
  <c r="I10" i="112"/>
  <c r="J10" i="112"/>
  <c r="K10" i="112"/>
  <c r="L10" i="112"/>
  <c r="M10" i="112"/>
  <c r="N10" i="112"/>
  <c r="O10" i="112"/>
  <c r="P10" i="112"/>
  <c r="D11" i="112"/>
  <c r="E11" i="112"/>
  <c r="F11" i="112"/>
  <c r="G11" i="112"/>
  <c r="H11" i="112"/>
  <c r="I11" i="112"/>
  <c r="J11" i="112"/>
  <c r="K11" i="112"/>
  <c r="L11" i="112"/>
  <c r="M11" i="112"/>
  <c r="N11" i="112"/>
  <c r="O11" i="112"/>
  <c r="P11" i="112"/>
  <c r="D12" i="112"/>
  <c r="E12" i="112"/>
  <c r="F12" i="112"/>
  <c r="G12" i="112"/>
  <c r="H12" i="112"/>
  <c r="I12" i="112"/>
  <c r="J12" i="112"/>
  <c r="K12" i="112"/>
  <c r="L12" i="112"/>
  <c r="M12" i="112"/>
  <c r="N12" i="112"/>
  <c r="O12" i="112"/>
  <c r="P12" i="112"/>
  <c r="D13" i="112"/>
  <c r="E13" i="112"/>
  <c r="F13" i="112"/>
  <c r="G13" i="112"/>
  <c r="H13" i="112"/>
  <c r="I13" i="112"/>
  <c r="J13" i="112"/>
  <c r="K13" i="112"/>
  <c r="L13" i="112"/>
  <c r="M13" i="112"/>
  <c r="N13" i="112"/>
  <c r="O13" i="112"/>
  <c r="P13" i="112"/>
  <c r="D14" i="112"/>
  <c r="E14" i="112"/>
  <c r="F14" i="112"/>
  <c r="G14" i="112"/>
  <c r="H14" i="112"/>
  <c r="I14" i="112"/>
  <c r="J14" i="112"/>
  <c r="K14" i="112"/>
  <c r="L14" i="112"/>
  <c r="M14" i="112"/>
  <c r="N14" i="112"/>
  <c r="O14" i="112"/>
  <c r="P14" i="112"/>
  <c r="D15" i="112"/>
  <c r="E15" i="112"/>
  <c r="F15" i="112"/>
  <c r="G15" i="112"/>
  <c r="H15" i="112"/>
  <c r="I15" i="112"/>
  <c r="J15" i="112"/>
  <c r="K15" i="112"/>
  <c r="L15" i="112"/>
  <c r="M15" i="112"/>
  <c r="N15" i="112"/>
  <c r="O15" i="112"/>
  <c r="P15" i="112"/>
  <c r="D16" i="112"/>
  <c r="E16" i="112"/>
  <c r="F16" i="112"/>
  <c r="G16" i="112"/>
  <c r="H16" i="112"/>
  <c r="I16" i="112"/>
  <c r="J16" i="112"/>
  <c r="K16" i="112"/>
  <c r="L16" i="112"/>
  <c r="M16" i="112"/>
  <c r="N16" i="112"/>
  <c r="O16" i="112"/>
  <c r="P16" i="112"/>
  <c r="D17" i="112"/>
  <c r="E17" i="112"/>
  <c r="F17" i="112"/>
  <c r="G17" i="112"/>
  <c r="H17" i="112"/>
  <c r="I17" i="112"/>
  <c r="J17" i="112"/>
  <c r="K17" i="112"/>
  <c r="L17" i="112"/>
  <c r="M17" i="112"/>
  <c r="N17" i="112"/>
  <c r="O17" i="112"/>
  <c r="P17" i="112"/>
  <c r="D18" i="112"/>
  <c r="E18" i="112"/>
  <c r="F18" i="112"/>
  <c r="G18" i="112"/>
  <c r="H18" i="112"/>
  <c r="I18" i="112"/>
  <c r="J18" i="112"/>
  <c r="K18" i="112"/>
  <c r="L18" i="112"/>
  <c r="M18" i="112"/>
  <c r="N18" i="112"/>
  <c r="O18" i="112"/>
  <c r="P18" i="112"/>
  <c r="D19" i="112"/>
  <c r="E19" i="112"/>
  <c r="F19" i="112"/>
  <c r="G19" i="112"/>
  <c r="H19" i="112"/>
  <c r="I19" i="112"/>
  <c r="J19" i="112"/>
  <c r="K19" i="112"/>
  <c r="L19" i="112"/>
  <c r="M19" i="112"/>
  <c r="N19" i="112"/>
  <c r="O19" i="112"/>
  <c r="P19" i="112"/>
  <c r="D20" i="112"/>
  <c r="E20" i="112"/>
  <c r="F20" i="112"/>
  <c r="G20" i="112"/>
  <c r="H20" i="112"/>
  <c r="I20" i="112"/>
  <c r="J20" i="112"/>
  <c r="K20" i="112"/>
  <c r="L20" i="112"/>
  <c r="M20" i="112"/>
  <c r="N20" i="112"/>
  <c r="O20" i="112"/>
  <c r="P20" i="112"/>
  <c r="D21" i="112"/>
  <c r="E21" i="112"/>
  <c r="F21" i="112"/>
  <c r="G21" i="112"/>
  <c r="H21" i="112"/>
  <c r="I21" i="112"/>
  <c r="J21" i="112"/>
  <c r="K21" i="112"/>
  <c r="L21" i="112"/>
  <c r="M21" i="112"/>
  <c r="N21" i="112"/>
  <c r="O21" i="112"/>
  <c r="P21" i="112"/>
  <c r="D22" i="112"/>
  <c r="E22" i="112"/>
  <c r="F22" i="112"/>
  <c r="G22" i="112"/>
  <c r="H22" i="112"/>
  <c r="I22" i="112"/>
  <c r="J22" i="112"/>
  <c r="K22" i="112"/>
  <c r="L22" i="112"/>
  <c r="M22" i="112"/>
  <c r="N22" i="112"/>
  <c r="O22" i="112"/>
  <c r="P22" i="112"/>
  <c r="D23" i="112"/>
  <c r="E23" i="112"/>
  <c r="F23" i="112"/>
  <c r="G23" i="112"/>
  <c r="H23" i="112"/>
  <c r="I23" i="112"/>
  <c r="J23" i="112"/>
  <c r="K23" i="112"/>
  <c r="L23" i="112"/>
  <c r="M23" i="112"/>
  <c r="N23" i="112"/>
  <c r="O23" i="112"/>
  <c r="P23" i="112"/>
  <c r="D24" i="112"/>
  <c r="E24" i="112"/>
  <c r="F24" i="112"/>
  <c r="G24" i="112"/>
  <c r="H24" i="112"/>
  <c r="I24" i="112"/>
  <c r="J24" i="112"/>
  <c r="K24" i="112"/>
  <c r="L24" i="112"/>
  <c r="M24" i="112"/>
  <c r="N24" i="112"/>
  <c r="O24" i="112"/>
  <c r="P24" i="112"/>
  <c r="D25" i="112"/>
  <c r="E25" i="112"/>
  <c r="F25" i="112"/>
  <c r="G25" i="112"/>
  <c r="H25" i="112"/>
  <c r="I25" i="112"/>
  <c r="J25" i="112"/>
  <c r="K25" i="112"/>
  <c r="L25" i="112"/>
  <c r="M25" i="112"/>
  <c r="N25" i="112"/>
  <c r="O25" i="112"/>
  <c r="P25" i="112"/>
  <c r="D26" i="112"/>
  <c r="E26" i="112"/>
  <c r="F26" i="112"/>
  <c r="G26" i="112"/>
  <c r="H26" i="112"/>
  <c r="I26" i="112"/>
  <c r="J26" i="112"/>
  <c r="K26" i="112"/>
  <c r="L26" i="112"/>
  <c r="M26" i="112"/>
  <c r="N26" i="112"/>
  <c r="O26" i="112"/>
  <c r="P26" i="112"/>
  <c r="D27" i="112"/>
  <c r="E27" i="112"/>
  <c r="F27" i="112"/>
  <c r="G27" i="112"/>
  <c r="H27" i="112"/>
  <c r="I27" i="112"/>
  <c r="J27" i="112"/>
  <c r="K27" i="112"/>
  <c r="L27" i="112"/>
  <c r="M27" i="112"/>
  <c r="N27" i="112"/>
  <c r="O27" i="112"/>
  <c r="P27" i="112"/>
  <c r="D28" i="112"/>
  <c r="E28" i="112"/>
  <c r="F28" i="112"/>
  <c r="G28" i="112"/>
  <c r="H28" i="112"/>
  <c r="I28" i="112"/>
  <c r="J28" i="112"/>
  <c r="K28" i="112"/>
  <c r="L28" i="112"/>
  <c r="M28" i="112"/>
  <c r="N28" i="112"/>
  <c r="O28" i="112"/>
  <c r="P28" i="112"/>
  <c r="D36" i="112"/>
  <c r="E36" i="112"/>
  <c r="F36" i="112"/>
  <c r="G36" i="112"/>
  <c r="H36" i="112"/>
  <c r="I36" i="112"/>
  <c r="J36" i="112"/>
  <c r="K36" i="112"/>
  <c r="L36" i="112"/>
  <c r="M36" i="112"/>
  <c r="N36" i="112"/>
  <c r="O36" i="112"/>
  <c r="P36" i="112"/>
  <c r="D44" i="112"/>
  <c r="E44" i="112"/>
  <c r="F44" i="112"/>
  <c r="G44" i="112"/>
  <c r="H44" i="112"/>
  <c r="I44" i="112"/>
  <c r="J44" i="112"/>
  <c r="K44" i="112"/>
  <c r="L44" i="112"/>
  <c r="M44" i="112"/>
  <c r="N44" i="112"/>
  <c r="O44" i="112"/>
  <c r="P44" i="112"/>
  <c r="D45" i="112"/>
  <c r="E45" i="112"/>
  <c r="F45" i="112"/>
  <c r="G45" i="112"/>
  <c r="H45" i="112"/>
  <c r="I45" i="112"/>
  <c r="J45" i="112"/>
  <c r="K45" i="112"/>
  <c r="L45" i="112"/>
  <c r="M45" i="112"/>
  <c r="N45" i="112"/>
  <c r="O45" i="112"/>
  <c r="P45" i="112"/>
  <c r="D46" i="112"/>
  <c r="E46" i="112"/>
  <c r="F46" i="112"/>
  <c r="G46" i="112"/>
  <c r="H46" i="112"/>
  <c r="I46" i="112"/>
  <c r="J46" i="112"/>
  <c r="K46" i="112"/>
  <c r="L46" i="112"/>
  <c r="M46" i="112"/>
  <c r="N46" i="112"/>
  <c r="O46" i="112"/>
  <c r="P46" i="112"/>
  <c r="D47" i="112"/>
  <c r="E47" i="112"/>
  <c r="F47" i="112"/>
  <c r="G47" i="112"/>
  <c r="H47" i="112"/>
  <c r="I47" i="112"/>
  <c r="J47" i="112"/>
  <c r="K47" i="112"/>
  <c r="L47" i="112"/>
  <c r="M47" i="112"/>
  <c r="N47" i="112"/>
  <c r="O47" i="112"/>
  <c r="P47" i="112"/>
  <c r="D48" i="112"/>
  <c r="E48" i="112"/>
  <c r="F48" i="112"/>
  <c r="G48" i="112"/>
  <c r="H48" i="112"/>
  <c r="I48" i="112"/>
  <c r="J48" i="112"/>
  <c r="K48" i="112"/>
  <c r="L48" i="112"/>
  <c r="M48" i="112"/>
  <c r="N48" i="112"/>
  <c r="O48" i="112"/>
  <c r="P48" i="112"/>
  <c r="D49" i="112"/>
  <c r="E49" i="112"/>
  <c r="F49" i="112"/>
  <c r="G49" i="112"/>
  <c r="H49" i="112"/>
  <c r="I49" i="112"/>
  <c r="J49" i="112"/>
  <c r="K49" i="112"/>
  <c r="L49" i="112"/>
  <c r="M49" i="112"/>
  <c r="N49" i="112"/>
  <c r="O49" i="112"/>
  <c r="P49" i="112"/>
  <c r="D50" i="112"/>
  <c r="E50" i="112"/>
  <c r="F50" i="112"/>
  <c r="G50" i="112"/>
  <c r="H50" i="112"/>
  <c r="I50" i="112"/>
  <c r="J50" i="112"/>
  <c r="K50" i="112"/>
  <c r="L50" i="112"/>
  <c r="M50" i="112"/>
  <c r="N50" i="112"/>
  <c r="O50" i="112"/>
  <c r="P50" i="112"/>
  <c r="D51" i="112"/>
  <c r="E51" i="112"/>
  <c r="F51" i="112"/>
  <c r="G51" i="112"/>
  <c r="H51" i="112"/>
  <c r="I51" i="112"/>
  <c r="J51" i="112"/>
  <c r="K51" i="112"/>
  <c r="L51" i="112"/>
  <c r="M51" i="112"/>
  <c r="N51" i="112"/>
  <c r="O51" i="112"/>
  <c r="P51" i="112"/>
  <c r="D52" i="112"/>
  <c r="E52" i="112"/>
  <c r="F52" i="112"/>
  <c r="G52" i="112"/>
  <c r="H52" i="112"/>
  <c r="I52" i="112"/>
  <c r="J52" i="112"/>
  <c r="K52" i="112"/>
  <c r="L52" i="112"/>
  <c r="M52" i="112"/>
  <c r="N52" i="112"/>
  <c r="O52" i="112"/>
  <c r="P52" i="112"/>
  <c r="D53" i="112"/>
  <c r="E53" i="112"/>
  <c r="F53" i="112"/>
  <c r="G53" i="112"/>
  <c r="H53" i="112"/>
  <c r="I53" i="112"/>
  <c r="J53" i="112"/>
  <c r="K53" i="112"/>
  <c r="L53" i="112"/>
  <c r="M53" i="112"/>
  <c r="N53" i="112"/>
  <c r="O53" i="112"/>
  <c r="P53" i="112"/>
  <c r="D54" i="112"/>
  <c r="E54" i="112"/>
  <c r="F54" i="112"/>
  <c r="G54" i="112"/>
  <c r="H54" i="112"/>
  <c r="I54" i="112"/>
  <c r="J54" i="112"/>
  <c r="K54" i="112"/>
  <c r="L54" i="112"/>
  <c r="M54" i="112"/>
  <c r="N54" i="112"/>
  <c r="O54" i="112"/>
  <c r="P54" i="112"/>
  <c r="D55" i="112"/>
  <c r="E55" i="112"/>
  <c r="F55" i="112"/>
  <c r="G55" i="112"/>
  <c r="H55" i="112"/>
  <c r="I55" i="112"/>
  <c r="J55" i="112"/>
  <c r="K55" i="112"/>
  <c r="L55" i="112"/>
  <c r="M55" i="112"/>
  <c r="N55" i="112"/>
  <c r="O55" i="112"/>
  <c r="P55" i="112"/>
  <c r="D56" i="112"/>
  <c r="E56" i="112"/>
  <c r="F56" i="112"/>
  <c r="G56" i="112"/>
  <c r="H56" i="112"/>
  <c r="I56" i="112"/>
  <c r="J56" i="112"/>
  <c r="K56" i="112"/>
  <c r="L56" i="112"/>
  <c r="M56" i="112"/>
  <c r="N56" i="112"/>
  <c r="O56" i="112"/>
  <c r="P56" i="112"/>
  <c r="D57" i="112"/>
  <c r="E57" i="112"/>
  <c r="F57" i="112"/>
  <c r="G57" i="112"/>
  <c r="H57" i="112"/>
  <c r="I57" i="112"/>
  <c r="J57" i="112"/>
  <c r="K57" i="112"/>
  <c r="L57" i="112"/>
  <c r="M57" i="112"/>
  <c r="N57" i="112"/>
  <c r="O57" i="112"/>
  <c r="P57" i="112"/>
  <c r="D58" i="112"/>
  <c r="E58" i="112"/>
  <c r="F58" i="112"/>
  <c r="G58" i="112"/>
  <c r="H58" i="112"/>
  <c r="I58" i="112"/>
  <c r="J58" i="112"/>
  <c r="K58" i="112"/>
  <c r="L58" i="112"/>
  <c r="M58" i="112"/>
  <c r="N58" i="112"/>
  <c r="O58" i="112"/>
  <c r="P58" i="112"/>
  <c r="D59" i="112"/>
  <c r="E59" i="112"/>
  <c r="F59" i="112"/>
  <c r="G59" i="112"/>
  <c r="H59" i="112"/>
  <c r="I59" i="112"/>
  <c r="J59" i="112"/>
  <c r="K59" i="112"/>
  <c r="L59" i="112"/>
  <c r="M59" i="112"/>
  <c r="N59" i="112"/>
  <c r="O59" i="112"/>
  <c r="P59" i="112"/>
  <c r="D60" i="112"/>
  <c r="E60" i="112"/>
  <c r="F60" i="112"/>
  <c r="G60" i="112"/>
  <c r="H60" i="112"/>
  <c r="I60" i="112"/>
  <c r="J60" i="112"/>
  <c r="K60" i="112"/>
  <c r="L60" i="112"/>
  <c r="M60" i="112"/>
  <c r="N60" i="112"/>
  <c r="O60" i="112"/>
  <c r="P60" i="112"/>
  <c r="D61" i="112"/>
  <c r="E61" i="112"/>
  <c r="F61" i="112"/>
  <c r="G61" i="112"/>
  <c r="H61" i="112"/>
  <c r="I61" i="112"/>
  <c r="J61" i="112"/>
  <c r="K61" i="112"/>
  <c r="L61" i="112"/>
  <c r="M61" i="112"/>
  <c r="N61" i="112"/>
  <c r="O61" i="112"/>
  <c r="P61" i="112"/>
  <c r="D62" i="112"/>
  <c r="E62" i="112"/>
  <c r="F62" i="112"/>
  <c r="G62" i="112"/>
  <c r="H62" i="112"/>
  <c r="I62" i="112"/>
  <c r="J62" i="112"/>
  <c r="K62" i="112"/>
  <c r="L62" i="112"/>
  <c r="M62" i="112"/>
  <c r="N62" i="112"/>
  <c r="O62" i="112"/>
  <c r="P62" i="112"/>
  <c r="D68" i="112"/>
  <c r="E68" i="112"/>
  <c r="F68" i="112"/>
  <c r="G68" i="112"/>
  <c r="H68" i="112"/>
  <c r="I68" i="112"/>
  <c r="J68" i="112"/>
  <c r="K68" i="112"/>
  <c r="L68" i="112"/>
  <c r="M68" i="112"/>
  <c r="N68" i="112"/>
  <c r="O68" i="112"/>
  <c r="P68" i="112"/>
  <c r="D75" i="112"/>
  <c r="E75" i="112"/>
  <c r="F75" i="112"/>
  <c r="G75" i="112"/>
  <c r="H75" i="112"/>
  <c r="I75" i="112"/>
  <c r="J75" i="112"/>
  <c r="K75" i="112"/>
  <c r="L75" i="112"/>
  <c r="M75" i="112"/>
  <c r="N75" i="112"/>
  <c r="O75" i="112"/>
  <c r="P75" i="112"/>
  <c r="D76" i="112"/>
  <c r="E76" i="112"/>
  <c r="F76" i="112"/>
  <c r="G76" i="112"/>
  <c r="H76" i="112"/>
  <c r="I76" i="112"/>
  <c r="J76" i="112"/>
  <c r="K76" i="112"/>
  <c r="L76" i="112"/>
  <c r="M76" i="112"/>
  <c r="N76" i="112"/>
  <c r="O76" i="112"/>
  <c r="P76" i="112"/>
  <c r="D77" i="112"/>
  <c r="E77" i="112"/>
  <c r="F77" i="112"/>
  <c r="G77" i="112"/>
  <c r="H77" i="112"/>
  <c r="I77" i="112"/>
  <c r="J77" i="112"/>
  <c r="K77" i="112"/>
  <c r="L77" i="112"/>
  <c r="M77" i="112"/>
  <c r="N77" i="112"/>
  <c r="O77" i="112"/>
  <c r="P77" i="112"/>
  <c r="D78" i="112"/>
  <c r="E78" i="112"/>
  <c r="F78" i="112"/>
  <c r="G78" i="112"/>
  <c r="H78" i="112"/>
  <c r="I78" i="112"/>
  <c r="J78" i="112"/>
  <c r="K78" i="112"/>
  <c r="L78" i="112"/>
  <c r="M78" i="112"/>
  <c r="N78" i="112"/>
  <c r="O78" i="112"/>
  <c r="P78" i="112"/>
  <c r="D79" i="112"/>
  <c r="E79" i="112"/>
  <c r="F79" i="112"/>
  <c r="G79" i="112"/>
  <c r="H79" i="112"/>
  <c r="I79" i="112"/>
  <c r="J79" i="112"/>
  <c r="K79" i="112"/>
  <c r="L79" i="112"/>
  <c r="M79" i="112"/>
  <c r="N79" i="112"/>
  <c r="O79" i="112"/>
  <c r="P79" i="112"/>
  <c r="D80" i="112"/>
  <c r="E80" i="112"/>
  <c r="F80" i="112"/>
  <c r="G80" i="112"/>
  <c r="H80" i="112"/>
  <c r="I80" i="112"/>
  <c r="J80" i="112"/>
  <c r="K80" i="112"/>
  <c r="L80" i="112"/>
  <c r="M80" i="112"/>
  <c r="N80" i="112"/>
  <c r="O80" i="112"/>
  <c r="P80" i="112"/>
  <c r="D81" i="112"/>
  <c r="E81" i="112"/>
  <c r="F81" i="112"/>
  <c r="G81" i="112"/>
  <c r="H81" i="112"/>
  <c r="I81" i="112"/>
  <c r="J81" i="112"/>
  <c r="K81" i="112"/>
  <c r="L81" i="112"/>
  <c r="M81" i="112"/>
  <c r="N81" i="112"/>
  <c r="O81" i="112"/>
  <c r="P81" i="112"/>
  <c r="D82" i="112"/>
  <c r="E82" i="112"/>
  <c r="F82" i="112"/>
  <c r="G82" i="112"/>
  <c r="H82" i="112"/>
  <c r="I82" i="112"/>
  <c r="J82" i="112"/>
  <c r="K82" i="112"/>
  <c r="L82" i="112"/>
  <c r="M82" i="112"/>
  <c r="N82" i="112"/>
  <c r="O82" i="112"/>
  <c r="P82" i="112"/>
  <c r="D83" i="112"/>
  <c r="E83" i="112"/>
  <c r="F83" i="112"/>
  <c r="G83" i="112"/>
  <c r="H83" i="112"/>
  <c r="I83" i="112"/>
  <c r="J83" i="112"/>
  <c r="K83" i="112"/>
  <c r="L83" i="112"/>
  <c r="M83" i="112"/>
  <c r="N83" i="112"/>
  <c r="O83" i="112"/>
  <c r="P83" i="112"/>
  <c r="D84" i="112"/>
  <c r="E84" i="112"/>
  <c r="F84" i="112"/>
  <c r="G84" i="112"/>
  <c r="H84" i="112"/>
  <c r="I84" i="112"/>
  <c r="J84" i="112"/>
  <c r="K84" i="112"/>
  <c r="L84" i="112"/>
  <c r="M84" i="112"/>
  <c r="N84" i="112"/>
  <c r="O84" i="112"/>
  <c r="P84" i="112"/>
  <c r="D85" i="112"/>
  <c r="E85" i="112"/>
  <c r="F85" i="112"/>
  <c r="G85" i="112"/>
  <c r="H85" i="112"/>
  <c r="I85" i="112"/>
  <c r="J85" i="112"/>
  <c r="K85" i="112"/>
  <c r="L85" i="112"/>
  <c r="M85" i="112"/>
  <c r="N85" i="112"/>
  <c r="O85" i="112"/>
  <c r="P85" i="112"/>
  <c r="D86" i="112"/>
  <c r="E86" i="112"/>
  <c r="F86" i="112"/>
  <c r="G86" i="112"/>
  <c r="H86" i="112"/>
  <c r="I86" i="112"/>
  <c r="J86" i="112"/>
  <c r="K86" i="112"/>
  <c r="L86" i="112"/>
  <c r="M86" i="112"/>
  <c r="N86" i="112"/>
  <c r="O86" i="112"/>
  <c r="P86" i="112"/>
  <c r="D87" i="112"/>
  <c r="E87" i="112"/>
  <c r="F87" i="112"/>
  <c r="G87" i="112"/>
  <c r="H87" i="112"/>
  <c r="I87" i="112"/>
  <c r="J87" i="112"/>
  <c r="K87" i="112"/>
  <c r="L87" i="112"/>
  <c r="M87" i="112"/>
  <c r="N87" i="112"/>
  <c r="O87" i="112"/>
  <c r="P87" i="112"/>
  <c r="D88" i="112"/>
  <c r="E88" i="112"/>
  <c r="F88" i="112"/>
  <c r="G88" i="112"/>
  <c r="H88" i="112"/>
  <c r="I88" i="112"/>
  <c r="J88" i="112"/>
  <c r="K88" i="112"/>
  <c r="L88" i="112"/>
  <c r="M88" i="112"/>
  <c r="N88" i="112"/>
  <c r="O88" i="112"/>
  <c r="P88" i="112"/>
  <c r="D89" i="112"/>
  <c r="E89" i="112"/>
  <c r="F89" i="112"/>
  <c r="G89" i="112"/>
  <c r="H89" i="112"/>
  <c r="I89" i="112"/>
  <c r="J89" i="112"/>
  <c r="K89" i="112"/>
  <c r="L89" i="112"/>
  <c r="M89" i="112"/>
  <c r="N89" i="112"/>
  <c r="O89" i="112"/>
  <c r="P89" i="112"/>
  <c r="D90" i="112"/>
  <c r="E90" i="112"/>
  <c r="F90" i="112"/>
  <c r="G90" i="112"/>
  <c r="H90" i="112"/>
  <c r="I90" i="112"/>
  <c r="J90" i="112"/>
  <c r="K90" i="112"/>
  <c r="L90" i="112"/>
  <c r="M90" i="112"/>
  <c r="N90" i="112"/>
  <c r="O90" i="112"/>
  <c r="P90" i="112"/>
  <c r="D91" i="112"/>
  <c r="E91" i="112"/>
  <c r="F91" i="112"/>
  <c r="G91" i="112"/>
  <c r="H91" i="112"/>
  <c r="I91" i="112"/>
  <c r="J91" i="112"/>
  <c r="K91" i="112"/>
  <c r="L91" i="112"/>
  <c r="M91" i="112"/>
  <c r="N91" i="112"/>
  <c r="O91" i="112"/>
  <c r="P91" i="112"/>
  <c r="D92" i="112"/>
  <c r="E92" i="112"/>
  <c r="F92" i="112"/>
  <c r="G92" i="112"/>
  <c r="H92" i="112"/>
  <c r="I92" i="112"/>
  <c r="J92" i="112"/>
  <c r="K92" i="112"/>
  <c r="L92" i="112"/>
  <c r="M92" i="112"/>
  <c r="N92" i="112"/>
  <c r="O92" i="112"/>
  <c r="P92" i="112"/>
  <c r="D93" i="112"/>
  <c r="E93" i="112"/>
  <c r="F93" i="112"/>
  <c r="G93" i="112"/>
  <c r="H93" i="112"/>
  <c r="I93" i="112"/>
  <c r="J93" i="112"/>
  <c r="K93" i="112"/>
  <c r="L93" i="112"/>
  <c r="M93" i="112"/>
  <c r="N93" i="112"/>
  <c r="O93" i="112"/>
  <c r="P93" i="112"/>
  <c r="D100" i="112"/>
  <c r="E100" i="112"/>
  <c r="F100" i="112"/>
  <c r="G100" i="112"/>
  <c r="H100" i="112"/>
  <c r="I100" i="112"/>
  <c r="J100" i="112"/>
  <c r="K100" i="112"/>
  <c r="L100" i="112"/>
  <c r="M100" i="112"/>
  <c r="N100" i="112"/>
  <c r="O100" i="112"/>
  <c r="P100" i="112"/>
  <c r="D107" i="112"/>
  <c r="E107" i="112"/>
  <c r="F107" i="112"/>
  <c r="G107" i="112"/>
  <c r="H107" i="112"/>
  <c r="I107" i="112"/>
  <c r="J107" i="112"/>
  <c r="K107" i="112"/>
  <c r="L107" i="112"/>
  <c r="M107" i="112"/>
  <c r="N107" i="112"/>
  <c r="O107" i="112"/>
  <c r="P107" i="112"/>
  <c r="D108" i="112"/>
  <c r="E108" i="112"/>
  <c r="F108" i="112"/>
  <c r="G108" i="112"/>
  <c r="H108" i="112"/>
  <c r="I108" i="112"/>
  <c r="J108" i="112"/>
  <c r="K108" i="112"/>
  <c r="L108" i="112"/>
  <c r="M108" i="112"/>
  <c r="N108" i="112"/>
  <c r="O108" i="112"/>
  <c r="P108" i="112"/>
  <c r="D109" i="112"/>
  <c r="E109" i="112"/>
  <c r="F109" i="112"/>
  <c r="G109" i="112"/>
  <c r="H109" i="112"/>
  <c r="I109" i="112"/>
  <c r="J109" i="112"/>
  <c r="K109" i="112"/>
  <c r="L109" i="112"/>
  <c r="M109" i="112"/>
  <c r="N109" i="112"/>
  <c r="O109" i="112"/>
  <c r="P109" i="112"/>
  <c r="D110" i="112"/>
  <c r="E110" i="112"/>
  <c r="F110" i="112"/>
  <c r="G110" i="112"/>
  <c r="H110" i="112"/>
  <c r="I110" i="112"/>
  <c r="J110" i="112"/>
  <c r="K110" i="112"/>
  <c r="L110" i="112"/>
  <c r="M110" i="112"/>
  <c r="N110" i="112"/>
  <c r="O110" i="112"/>
  <c r="P110" i="112"/>
  <c r="D111" i="112"/>
  <c r="E111" i="112"/>
  <c r="F111" i="112"/>
  <c r="G111" i="112"/>
  <c r="H111" i="112"/>
  <c r="I111" i="112"/>
  <c r="J111" i="112"/>
  <c r="K111" i="112"/>
  <c r="L111" i="112"/>
  <c r="M111" i="112"/>
  <c r="N111" i="112"/>
  <c r="O111" i="112"/>
  <c r="P111" i="112"/>
  <c r="D112" i="112"/>
  <c r="E112" i="112"/>
  <c r="F112" i="112"/>
  <c r="G112" i="112"/>
  <c r="H112" i="112"/>
  <c r="I112" i="112"/>
  <c r="J112" i="112"/>
  <c r="K112" i="112"/>
  <c r="L112" i="112"/>
  <c r="M112" i="112"/>
  <c r="N112" i="112"/>
  <c r="O112" i="112"/>
  <c r="P112" i="112"/>
  <c r="D113" i="112"/>
  <c r="E113" i="112"/>
  <c r="F113" i="112"/>
  <c r="G113" i="112"/>
  <c r="H113" i="112"/>
  <c r="I113" i="112"/>
  <c r="J113" i="112"/>
  <c r="K113" i="112"/>
  <c r="L113" i="112"/>
  <c r="M113" i="112"/>
  <c r="N113" i="112"/>
  <c r="O113" i="112"/>
  <c r="P113" i="112"/>
  <c r="D114" i="112"/>
  <c r="E114" i="112"/>
  <c r="F114" i="112"/>
  <c r="G114" i="112"/>
  <c r="H114" i="112"/>
  <c r="I114" i="112"/>
  <c r="J114" i="112"/>
  <c r="K114" i="112"/>
  <c r="L114" i="112"/>
  <c r="M114" i="112"/>
  <c r="N114" i="112"/>
  <c r="O114" i="112"/>
  <c r="P114" i="112"/>
  <c r="D115" i="112"/>
  <c r="E115" i="112"/>
  <c r="F115" i="112"/>
  <c r="G115" i="112"/>
  <c r="H115" i="112"/>
  <c r="I115" i="112"/>
  <c r="J115" i="112"/>
  <c r="K115" i="112"/>
  <c r="L115" i="112"/>
  <c r="M115" i="112"/>
  <c r="N115" i="112"/>
  <c r="O115" i="112"/>
  <c r="P115" i="112"/>
  <c r="D116" i="112"/>
  <c r="E116" i="112"/>
  <c r="F116" i="112"/>
  <c r="G116" i="112"/>
  <c r="H116" i="112"/>
  <c r="I116" i="112"/>
  <c r="J116" i="112"/>
  <c r="K116" i="112"/>
  <c r="L116" i="112"/>
  <c r="M116" i="112"/>
  <c r="N116" i="112"/>
  <c r="O116" i="112"/>
  <c r="P116" i="112"/>
  <c r="D117" i="112"/>
  <c r="E117" i="112"/>
  <c r="F117" i="112"/>
  <c r="G117" i="112"/>
  <c r="H117" i="112"/>
  <c r="I117" i="112"/>
  <c r="J117" i="112"/>
  <c r="K117" i="112"/>
  <c r="L117" i="112"/>
  <c r="M117" i="112"/>
  <c r="N117" i="112"/>
  <c r="O117" i="112"/>
  <c r="P117" i="112"/>
  <c r="D118" i="112"/>
  <c r="E118" i="112"/>
  <c r="F118" i="112"/>
  <c r="G118" i="112"/>
  <c r="H118" i="112"/>
  <c r="I118" i="112"/>
  <c r="J118" i="112"/>
  <c r="K118" i="112"/>
  <c r="L118" i="112"/>
  <c r="M118" i="112"/>
  <c r="N118" i="112"/>
  <c r="O118" i="112"/>
  <c r="P118" i="112"/>
  <c r="D119" i="112"/>
  <c r="E119" i="112"/>
  <c r="F119" i="112"/>
  <c r="G119" i="112"/>
  <c r="H119" i="112"/>
  <c r="I119" i="112"/>
  <c r="J119" i="112"/>
  <c r="K119" i="112"/>
  <c r="L119" i="112"/>
  <c r="M119" i="112"/>
  <c r="N119" i="112"/>
  <c r="O119" i="112"/>
  <c r="P119" i="112"/>
  <c r="D120" i="112"/>
  <c r="E120" i="112"/>
  <c r="F120" i="112"/>
  <c r="G120" i="112"/>
  <c r="H120" i="112"/>
  <c r="I120" i="112"/>
  <c r="J120" i="112"/>
  <c r="K120" i="112"/>
  <c r="L120" i="112"/>
  <c r="M120" i="112"/>
  <c r="N120" i="112"/>
  <c r="O120" i="112"/>
  <c r="P120" i="112"/>
  <c r="D121" i="112"/>
  <c r="E121" i="112"/>
  <c r="F121" i="112"/>
  <c r="G121" i="112"/>
  <c r="H121" i="112"/>
  <c r="I121" i="112"/>
  <c r="J121" i="112"/>
  <c r="K121" i="112"/>
  <c r="L121" i="112"/>
  <c r="M121" i="112"/>
  <c r="N121" i="112"/>
  <c r="O121" i="112"/>
  <c r="P121" i="112"/>
  <c r="D122" i="112"/>
  <c r="E122" i="112"/>
  <c r="F122" i="112"/>
  <c r="G122" i="112"/>
  <c r="H122" i="112"/>
  <c r="I122" i="112"/>
  <c r="J122" i="112"/>
  <c r="K122" i="112"/>
  <c r="L122" i="112"/>
  <c r="M122" i="112"/>
  <c r="N122" i="112"/>
  <c r="O122" i="112"/>
  <c r="P122" i="112"/>
  <c r="D123" i="112"/>
  <c r="E123" i="112"/>
  <c r="F123" i="112"/>
  <c r="G123" i="112"/>
  <c r="H123" i="112"/>
  <c r="I123" i="112"/>
  <c r="J123" i="112"/>
  <c r="K123" i="112"/>
  <c r="L123" i="112"/>
  <c r="M123" i="112"/>
  <c r="N123" i="112"/>
  <c r="O123" i="112"/>
  <c r="P123" i="112"/>
  <c r="D124" i="112"/>
  <c r="E124" i="112"/>
  <c r="F124" i="112"/>
  <c r="G124" i="112"/>
  <c r="H124" i="112"/>
  <c r="I124" i="112"/>
  <c r="J124" i="112"/>
  <c r="K124" i="112"/>
  <c r="L124" i="112"/>
  <c r="M124" i="112"/>
  <c r="N124" i="112"/>
  <c r="O124" i="112"/>
  <c r="P124" i="112"/>
  <c r="D125" i="112"/>
  <c r="E125" i="112"/>
  <c r="F125" i="112"/>
  <c r="G125" i="112"/>
  <c r="H125" i="112"/>
  <c r="I125" i="112"/>
  <c r="J125" i="112"/>
  <c r="K125" i="112"/>
  <c r="L125" i="112"/>
  <c r="M125" i="112"/>
  <c r="N125" i="112"/>
  <c r="O125" i="112"/>
  <c r="P125" i="112"/>
  <c r="D132" i="112"/>
  <c r="E132" i="112"/>
  <c r="F132" i="112"/>
  <c r="G132" i="112"/>
  <c r="H132" i="112"/>
  <c r="I132" i="112"/>
  <c r="J132" i="112"/>
  <c r="K132" i="112"/>
  <c r="L132" i="112"/>
  <c r="M132" i="112"/>
  <c r="N132" i="112"/>
  <c r="O132" i="112"/>
  <c r="P132" i="112"/>
  <c r="D139" i="112"/>
  <c r="E139" i="112"/>
  <c r="F139" i="112"/>
  <c r="G139" i="112"/>
  <c r="H139" i="112"/>
  <c r="I139" i="112"/>
  <c r="J139" i="112"/>
  <c r="K139" i="112"/>
  <c r="L139" i="112"/>
  <c r="M139" i="112"/>
  <c r="N139" i="112"/>
  <c r="O139" i="112"/>
  <c r="P139" i="112"/>
  <c r="D140" i="112"/>
  <c r="E140" i="112"/>
  <c r="F140" i="112"/>
  <c r="G140" i="112"/>
  <c r="H140" i="112"/>
  <c r="I140" i="112"/>
  <c r="J140" i="112"/>
  <c r="K140" i="112"/>
  <c r="L140" i="112"/>
  <c r="M140" i="112"/>
  <c r="N140" i="112"/>
  <c r="O140" i="112"/>
  <c r="P140" i="112"/>
  <c r="D141" i="112"/>
  <c r="E141" i="112"/>
  <c r="F141" i="112"/>
  <c r="G141" i="112"/>
  <c r="H141" i="112"/>
  <c r="I141" i="112"/>
  <c r="J141" i="112"/>
  <c r="K141" i="112"/>
  <c r="L141" i="112"/>
  <c r="M141" i="112"/>
  <c r="N141" i="112"/>
  <c r="O141" i="112"/>
  <c r="P141" i="112"/>
  <c r="D142" i="112"/>
  <c r="E142" i="112"/>
  <c r="F142" i="112"/>
  <c r="G142" i="112"/>
  <c r="H142" i="112"/>
  <c r="I142" i="112"/>
  <c r="J142" i="112"/>
  <c r="K142" i="112"/>
  <c r="L142" i="112"/>
  <c r="M142" i="112"/>
  <c r="N142" i="112"/>
  <c r="O142" i="112"/>
  <c r="P142" i="112"/>
  <c r="D143" i="112"/>
  <c r="E143" i="112"/>
  <c r="F143" i="112"/>
  <c r="G143" i="112"/>
  <c r="H143" i="112"/>
  <c r="I143" i="112"/>
  <c r="J143" i="112"/>
  <c r="K143" i="112"/>
  <c r="L143" i="112"/>
  <c r="M143" i="112"/>
  <c r="N143" i="112"/>
  <c r="O143" i="112"/>
  <c r="P143" i="112"/>
  <c r="D144" i="112"/>
  <c r="E144" i="112"/>
  <c r="F144" i="112"/>
  <c r="G144" i="112"/>
  <c r="H144" i="112"/>
  <c r="I144" i="112"/>
  <c r="J144" i="112"/>
  <c r="K144" i="112"/>
  <c r="L144" i="112"/>
  <c r="M144" i="112"/>
  <c r="N144" i="112"/>
  <c r="O144" i="112"/>
  <c r="P144" i="112"/>
  <c r="D145" i="112"/>
  <c r="E145" i="112"/>
  <c r="F145" i="112"/>
  <c r="G145" i="112"/>
  <c r="H145" i="112"/>
  <c r="I145" i="112"/>
  <c r="J145" i="112"/>
  <c r="K145" i="112"/>
  <c r="L145" i="112"/>
  <c r="M145" i="112"/>
  <c r="N145" i="112"/>
  <c r="O145" i="112"/>
  <c r="P145" i="112"/>
  <c r="D146" i="112"/>
  <c r="E146" i="112"/>
  <c r="F146" i="112"/>
  <c r="G146" i="112"/>
  <c r="H146" i="112"/>
  <c r="I146" i="112"/>
  <c r="J146" i="112"/>
  <c r="K146" i="112"/>
  <c r="L146" i="112"/>
  <c r="M146" i="112"/>
  <c r="N146" i="112"/>
  <c r="O146" i="112"/>
  <c r="P146" i="112"/>
  <c r="D147" i="112"/>
  <c r="E147" i="112"/>
  <c r="F147" i="112"/>
  <c r="G147" i="112"/>
  <c r="H147" i="112"/>
  <c r="I147" i="112"/>
  <c r="J147" i="112"/>
  <c r="K147" i="112"/>
  <c r="L147" i="112"/>
  <c r="M147" i="112"/>
  <c r="N147" i="112"/>
  <c r="O147" i="112"/>
  <c r="P147" i="112"/>
  <c r="D148" i="112"/>
  <c r="E148" i="112"/>
  <c r="F148" i="112"/>
  <c r="G148" i="112"/>
  <c r="H148" i="112"/>
  <c r="I148" i="112"/>
  <c r="J148" i="112"/>
  <c r="K148" i="112"/>
  <c r="L148" i="112"/>
  <c r="M148" i="112"/>
  <c r="N148" i="112"/>
  <c r="O148" i="112"/>
  <c r="P148" i="112"/>
  <c r="D149" i="112"/>
  <c r="E149" i="112"/>
  <c r="F149" i="112"/>
  <c r="G149" i="112"/>
  <c r="H149" i="112"/>
  <c r="I149" i="112"/>
  <c r="J149" i="112"/>
  <c r="K149" i="112"/>
  <c r="L149" i="112"/>
  <c r="M149" i="112"/>
  <c r="N149" i="112"/>
  <c r="O149" i="112"/>
  <c r="P149" i="112"/>
  <c r="D150" i="112"/>
  <c r="E150" i="112"/>
  <c r="F150" i="112"/>
  <c r="G150" i="112"/>
  <c r="H150" i="112"/>
  <c r="I150" i="112"/>
  <c r="J150" i="112"/>
  <c r="K150" i="112"/>
  <c r="L150" i="112"/>
  <c r="M150" i="112"/>
  <c r="N150" i="112"/>
  <c r="O150" i="112"/>
  <c r="P150" i="112"/>
  <c r="D151" i="112"/>
  <c r="E151" i="112"/>
  <c r="F151" i="112"/>
  <c r="G151" i="112"/>
  <c r="H151" i="112"/>
  <c r="I151" i="112"/>
  <c r="J151" i="112"/>
  <c r="K151" i="112"/>
  <c r="L151" i="112"/>
  <c r="M151" i="112"/>
  <c r="N151" i="112"/>
  <c r="O151" i="112"/>
  <c r="P151" i="112"/>
  <c r="D152" i="112"/>
  <c r="E152" i="112"/>
  <c r="F152" i="112"/>
  <c r="G152" i="112"/>
  <c r="H152" i="112"/>
  <c r="I152" i="112"/>
  <c r="J152" i="112"/>
  <c r="K152" i="112"/>
  <c r="L152" i="112"/>
  <c r="M152" i="112"/>
  <c r="N152" i="112"/>
  <c r="O152" i="112"/>
  <c r="P152" i="112"/>
  <c r="D153" i="112"/>
  <c r="E153" i="112"/>
  <c r="F153" i="112"/>
  <c r="G153" i="112"/>
  <c r="H153" i="112"/>
  <c r="I153" i="112"/>
  <c r="J153" i="112"/>
  <c r="K153" i="112"/>
  <c r="L153" i="112"/>
  <c r="M153" i="112"/>
  <c r="N153" i="112"/>
  <c r="O153" i="112"/>
  <c r="P153" i="112"/>
  <c r="D154" i="112"/>
  <c r="E154" i="112"/>
  <c r="F154" i="112"/>
  <c r="G154" i="112"/>
  <c r="H154" i="112"/>
  <c r="I154" i="112"/>
  <c r="J154" i="112"/>
  <c r="K154" i="112"/>
  <c r="L154" i="112"/>
  <c r="M154" i="112"/>
  <c r="N154" i="112"/>
  <c r="O154" i="112"/>
  <c r="P154" i="112"/>
  <c r="D155" i="112"/>
  <c r="E155" i="112"/>
  <c r="F155" i="112"/>
  <c r="G155" i="112"/>
  <c r="H155" i="112"/>
  <c r="I155" i="112"/>
  <c r="J155" i="112"/>
  <c r="K155" i="112"/>
  <c r="L155" i="112"/>
  <c r="M155" i="112"/>
  <c r="N155" i="112"/>
  <c r="O155" i="112"/>
  <c r="P155" i="112"/>
  <c r="D156" i="112"/>
  <c r="E156" i="112"/>
  <c r="F156" i="112"/>
  <c r="G156" i="112"/>
  <c r="H156" i="112"/>
  <c r="I156" i="112"/>
  <c r="J156" i="112"/>
  <c r="K156" i="112"/>
  <c r="L156" i="112"/>
  <c r="M156" i="112"/>
  <c r="N156" i="112"/>
  <c r="O156" i="112"/>
  <c r="P156" i="112"/>
  <c r="D157" i="112"/>
  <c r="E157" i="112"/>
  <c r="F157" i="112"/>
  <c r="G157" i="112"/>
  <c r="H157" i="112"/>
  <c r="I157" i="112"/>
  <c r="J157" i="112"/>
  <c r="K157" i="112"/>
  <c r="L157" i="112"/>
  <c r="M157" i="112"/>
  <c r="N157" i="112"/>
  <c r="O157" i="112"/>
  <c r="P157" i="112"/>
  <c r="D164" i="112"/>
  <c r="E164" i="112"/>
  <c r="F164" i="112"/>
  <c r="G164" i="112"/>
  <c r="H164" i="112"/>
  <c r="I164" i="112"/>
  <c r="J164" i="112"/>
  <c r="K164" i="112"/>
  <c r="L164" i="112"/>
  <c r="M164" i="112"/>
  <c r="N164" i="112"/>
  <c r="O164" i="112"/>
  <c r="P164" i="112"/>
  <c r="D38" i="86"/>
  <c r="E38" i="86"/>
  <c r="F38" i="86"/>
  <c r="G38" i="86"/>
  <c r="H38" i="86"/>
  <c r="D41" i="86"/>
  <c r="E41" i="86"/>
  <c r="F41" i="86"/>
  <c r="G41" i="86"/>
  <c r="H41" i="86"/>
  <c r="D42" i="86"/>
  <c r="E42" i="86"/>
  <c r="F42" i="86"/>
  <c r="G42" i="86"/>
  <c r="H42" i="86"/>
  <c r="D43" i="86"/>
  <c r="E43" i="86"/>
  <c r="F43" i="86"/>
  <c r="G43" i="86"/>
  <c r="H43" i="86"/>
  <c r="D44" i="86"/>
  <c r="E44" i="86"/>
  <c r="F44" i="86"/>
  <c r="G44" i="86"/>
  <c r="H44" i="86"/>
  <c r="D45" i="86"/>
  <c r="E45" i="86"/>
  <c r="F45" i="86"/>
  <c r="G45" i="86"/>
  <c r="H45" i="86"/>
  <c r="D46" i="86"/>
  <c r="E46" i="86"/>
  <c r="F46" i="86"/>
  <c r="G46" i="86"/>
  <c r="H46" i="86"/>
  <c r="D47" i="86"/>
  <c r="E47" i="86"/>
  <c r="F47" i="86"/>
  <c r="G47" i="86"/>
  <c r="H47" i="86"/>
  <c r="D48" i="86"/>
  <c r="E48" i="86"/>
  <c r="F48" i="86"/>
  <c r="G48" i="86"/>
  <c r="H48" i="86"/>
  <c r="D49" i="86"/>
  <c r="E49" i="86"/>
  <c r="F49" i="86"/>
  <c r="G49" i="86"/>
  <c r="H49" i="86"/>
  <c r="D50" i="86"/>
  <c r="E50" i="86"/>
  <c r="F50" i="86"/>
  <c r="G50" i="86"/>
  <c r="H50" i="86"/>
  <c r="D51" i="86"/>
  <c r="E51" i="86"/>
  <c r="F51" i="86"/>
  <c r="G51" i="86"/>
  <c r="H51" i="86"/>
  <c r="D52" i="86"/>
  <c r="E52" i="86"/>
  <c r="F52" i="86"/>
  <c r="G52" i="86"/>
  <c r="H52" i="86"/>
  <c r="D53" i="86"/>
  <c r="E53" i="86"/>
  <c r="F53" i="86"/>
  <c r="G53" i="86"/>
  <c r="H53" i="86"/>
  <c r="D54" i="86"/>
  <c r="E54" i="86"/>
  <c r="F54" i="86"/>
  <c r="G54" i="86"/>
  <c r="H54" i="86"/>
  <c r="D55" i="86"/>
  <c r="E55" i="86"/>
  <c r="F55" i="86"/>
  <c r="G55" i="86"/>
  <c r="H55" i="86"/>
  <c r="D56" i="86"/>
  <c r="E56" i="86"/>
  <c r="F56" i="86"/>
  <c r="G56" i="86"/>
  <c r="H56" i="86"/>
  <c r="D57" i="86"/>
  <c r="E57" i="86"/>
  <c r="F57" i="86"/>
  <c r="G57" i="86"/>
  <c r="H57" i="86"/>
  <c r="D58" i="86"/>
  <c r="E58" i="86"/>
  <c r="F58" i="86"/>
  <c r="G58" i="86"/>
  <c r="H58" i="86"/>
  <c r="D59" i="86"/>
  <c r="E59" i="86"/>
  <c r="F59" i="86"/>
  <c r="G59" i="86"/>
  <c r="H59" i="86"/>
  <c r="D60" i="86"/>
  <c r="E60" i="86"/>
  <c r="F60" i="86"/>
  <c r="G60" i="86"/>
  <c r="H60" i="86"/>
  <c r="D38" i="115"/>
  <c r="E38" i="115"/>
  <c r="F38" i="115"/>
  <c r="G38" i="115"/>
  <c r="H38" i="115"/>
  <c r="D41" i="115"/>
  <c r="E41" i="115"/>
  <c r="F41" i="115"/>
  <c r="G41" i="115"/>
  <c r="H41" i="115"/>
  <c r="D42" i="115"/>
  <c r="E42" i="115"/>
  <c r="F42" i="115"/>
  <c r="G42" i="115"/>
  <c r="H42" i="115"/>
  <c r="D43" i="115"/>
  <c r="E43" i="115"/>
  <c r="F43" i="115"/>
  <c r="G43" i="115"/>
  <c r="H43" i="115"/>
  <c r="D44" i="115"/>
  <c r="E44" i="115"/>
  <c r="F44" i="115"/>
  <c r="G44" i="115"/>
  <c r="H44" i="115"/>
  <c r="D45" i="115"/>
  <c r="E45" i="115"/>
  <c r="F45" i="115"/>
  <c r="G45" i="115"/>
  <c r="H45" i="115"/>
  <c r="D46" i="115"/>
  <c r="E46" i="115"/>
  <c r="F46" i="115"/>
  <c r="G46" i="115"/>
  <c r="H46" i="115"/>
  <c r="D47" i="115"/>
  <c r="E47" i="115"/>
  <c r="F47" i="115"/>
  <c r="G47" i="115"/>
  <c r="H47" i="115"/>
  <c r="D48" i="115"/>
  <c r="E48" i="115"/>
  <c r="F48" i="115"/>
  <c r="G48" i="115"/>
  <c r="H48" i="115"/>
  <c r="D49" i="115"/>
  <c r="E49" i="115"/>
  <c r="F49" i="115"/>
  <c r="G49" i="115"/>
  <c r="H49" i="115"/>
  <c r="D50" i="115"/>
  <c r="E50" i="115"/>
  <c r="F50" i="115"/>
  <c r="G50" i="115"/>
  <c r="H50" i="115"/>
  <c r="D51" i="115"/>
  <c r="E51" i="115"/>
  <c r="F51" i="115"/>
  <c r="G51" i="115"/>
  <c r="H51" i="115"/>
  <c r="D52" i="115"/>
  <c r="E52" i="115"/>
  <c r="F52" i="115"/>
  <c r="G52" i="115"/>
  <c r="H52" i="115"/>
  <c r="D53" i="115"/>
  <c r="E53" i="115"/>
  <c r="F53" i="115"/>
  <c r="G53" i="115"/>
  <c r="H53" i="115"/>
  <c r="D54" i="115"/>
  <c r="E54" i="115"/>
  <c r="F54" i="115"/>
  <c r="G54" i="115"/>
  <c r="H54" i="115"/>
  <c r="D55" i="115"/>
  <c r="E55" i="115"/>
  <c r="F55" i="115"/>
  <c r="G55" i="115"/>
  <c r="H55" i="115"/>
  <c r="D56" i="115"/>
  <c r="E56" i="115"/>
  <c r="F56" i="115"/>
  <c r="G56" i="115"/>
  <c r="H56" i="115"/>
  <c r="D57" i="115"/>
  <c r="E57" i="115"/>
  <c r="F57" i="115"/>
  <c r="G57" i="115"/>
  <c r="H57" i="115"/>
  <c r="D58" i="115"/>
  <c r="E58" i="115"/>
  <c r="F58" i="115"/>
  <c r="G58" i="115"/>
  <c r="H58" i="115"/>
  <c r="D59" i="115"/>
  <c r="E59" i="115"/>
  <c r="F59" i="115"/>
  <c r="G59" i="115"/>
  <c r="H59" i="115"/>
  <c r="D60" i="115"/>
  <c r="E60" i="115"/>
  <c r="F60" i="115"/>
  <c r="G60" i="115"/>
  <c r="H60" i="115"/>
  <c r="E13" i="77"/>
  <c r="F13" i="77"/>
  <c r="G13" i="77"/>
  <c r="H13" i="77"/>
  <c r="I13" i="77"/>
  <c r="E14" i="77"/>
  <c r="F14" i="77"/>
  <c r="G14" i="77"/>
  <c r="H14" i="77"/>
  <c r="I14" i="77"/>
  <c r="E17" i="77"/>
  <c r="F17" i="77"/>
  <c r="G17" i="77"/>
  <c r="H17" i="77"/>
  <c r="I17" i="77"/>
  <c r="E18" i="77"/>
  <c r="F18" i="77"/>
  <c r="G18" i="77"/>
  <c r="H18" i="77"/>
  <c r="I18" i="77"/>
  <c r="E20" i="77"/>
  <c r="F20" i="77"/>
  <c r="G20" i="77"/>
  <c r="H20" i="77"/>
  <c r="I20" i="7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tc={1252154E-3537-47B0-82D2-2D6294F800A2}</author>
  </authors>
  <commentList>
    <comment ref="AM13"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6 Year Average Considered, due to additional expenses occurred in FY 25 such as IRP Fees, DPR Fees, External Consultant Fees etc.</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tc={4152E04E-E0BE-4E9B-ADD1-8CBFD2AEBCBA}</author>
    <author>tc={070B706D-B5AA-4BF7-BC1D-590D923069A5}</author>
    <author>tc={8738B99F-5463-4428-8500-D02B33C33A1B}</author>
    <author>tc={F01BADD9-C3F0-44AD-AC5A-038649539E61}</author>
  </authors>
  <commentList>
    <comment ref="H66"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MSETCL 4th MYT weighted average loan</t>
      </text>
    </comment>
    <comment ref="H82"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MSETCL 4th MYT weighted average loan</t>
      </text>
    </comment>
    <comment ref="H88" authorId="2" shapeId="0" xr:uid="{00000000-0006-0000-0900-000003000000}">
      <text>
        <t>[Threaded comment]
Your version of Excel allows you to read this threaded comment; however, any edits to it will get removed if the file is opened in a newer version of Excel. Learn more: https://go.microsoft.com/fwlink/?linkid=870924
Comment:
    MSETCL 4th MYT weighted average loan</t>
      </text>
    </comment>
    <comment ref="H93" authorId="3" shapeId="0" xr:uid="{00000000-0006-0000-0900-000004000000}">
      <text>
        <t>[Threaded comment]
Your version of Excel allows you to read this threaded comment; however, any edits to it will get removed if the file is opened in a newer version of Excel. Learn more: https://go.microsoft.com/fwlink/?linkid=870924
Comment:
    MSETCL 4th MYT weighted average loan</t>
      </text>
    </comment>
  </commentList>
</comments>
</file>

<file path=xl/sharedStrings.xml><?xml version="1.0" encoding="utf-8"?>
<sst xmlns="http://schemas.openxmlformats.org/spreadsheetml/2006/main" count="4525" uniqueCount="858">
  <si>
    <t>Maharashtra State Transmission Utility</t>
  </si>
  <si>
    <t>MYT Petition Formats - Fees and Charges for STU</t>
  </si>
  <si>
    <t>Sr. No.</t>
  </si>
  <si>
    <t>Title</t>
  </si>
  <si>
    <t>Reference</t>
  </si>
  <si>
    <t>Annual Fixed Charges - Summary Sheet</t>
  </si>
  <si>
    <t>Form 1</t>
  </si>
  <si>
    <t>Summary of Operations and Maintenance Expenses</t>
  </si>
  <si>
    <t>Form 2</t>
  </si>
  <si>
    <t>Operation and Maintenance Expenses -Normative</t>
  </si>
  <si>
    <t>Form 2.1</t>
  </si>
  <si>
    <t>Employee Expenses</t>
  </si>
  <si>
    <t>Form 2.2</t>
  </si>
  <si>
    <t>Administration &amp; General Expenses</t>
  </si>
  <si>
    <t>Form 2.3</t>
  </si>
  <si>
    <t>Repair &amp; Maintenance Expenses</t>
  </si>
  <si>
    <t>Form 2.4</t>
  </si>
  <si>
    <t>Summary of Capital Expenditure and Capitalisation</t>
  </si>
  <si>
    <t>Form 3</t>
  </si>
  <si>
    <t xml:space="preserve">Capital Expenditure Plan </t>
  </si>
  <si>
    <t>Form 3.1</t>
  </si>
  <si>
    <t>Capitalisation Plan</t>
  </si>
  <si>
    <t>Form 3.2</t>
  </si>
  <si>
    <t>Capital Work-in-Progress</t>
  </si>
  <si>
    <t>Form 3.3</t>
  </si>
  <si>
    <t>Assets &amp; Depreciation</t>
  </si>
  <si>
    <t>Form 4</t>
  </si>
  <si>
    <t>Assets &amp; Depreciation  - Existing Schemes (CoD on or before the March 31, 2025 or Assets in-principally approved  before the notification of MERC MYT Regulations 2024)</t>
  </si>
  <si>
    <t xml:space="preserve">Form 4.1 (E) </t>
  </si>
  <si>
    <t>Assets &amp; Depreciation - New Schemes  (not covered under Existing Assets)</t>
  </si>
  <si>
    <t xml:space="preserve">Form 4.1 (N) </t>
  </si>
  <si>
    <t>Interest on Loan Capital</t>
  </si>
  <si>
    <t>Form 5</t>
  </si>
  <si>
    <t xml:space="preserve">Interest on Working Capital </t>
  </si>
  <si>
    <t>Form 6</t>
  </si>
  <si>
    <t>Income Tax</t>
  </si>
  <si>
    <t>Form 7</t>
  </si>
  <si>
    <t>Return on Regulatory Equity</t>
  </si>
  <si>
    <t>Form 8</t>
  </si>
  <si>
    <t>Non-tariff Income</t>
  </si>
  <si>
    <t>Form 9</t>
  </si>
  <si>
    <t>Revenue from Transmission System Users and others</t>
  </si>
  <si>
    <t>Form 10</t>
  </si>
  <si>
    <t>Coincident and Non-Coincident Peak Demand</t>
  </si>
  <si>
    <t>Form 11</t>
  </si>
  <si>
    <t>Sharing of STU Charges</t>
  </si>
  <si>
    <t>Form 12</t>
  </si>
  <si>
    <t>Quantum of Energy Transmitted and Intra-State Transmission Loss</t>
  </si>
  <si>
    <t>Form 13</t>
  </si>
  <si>
    <t>Depreciation Schedule</t>
  </si>
  <si>
    <t>Form 14</t>
  </si>
  <si>
    <t>Form 1:  Annual Fixed Charges - Summary Sheet</t>
  </si>
  <si>
    <t>(Rs. Lakh)</t>
  </si>
  <si>
    <t>Particulars</t>
  </si>
  <si>
    <t>Ensuing Years</t>
  </si>
  <si>
    <t>Remarks</t>
  </si>
  <si>
    <t>FY 2025-26</t>
  </si>
  <si>
    <t>FY 2026-27</t>
  </si>
  <si>
    <t>FY 2027-28</t>
  </si>
  <si>
    <t>FY 2028-29</t>
  </si>
  <si>
    <t>FY 2029-30</t>
  </si>
  <si>
    <t>Projected</t>
  </si>
  <si>
    <t>Operation &amp; Maintenance Expenses</t>
  </si>
  <si>
    <t>Depreciation Expenses</t>
  </si>
  <si>
    <t>Interest on Working Capital</t>
  </si>
  <si>
    <t>-</t>
  </si>
  <si>
    <t>Total Revenue Expenditure</t>
  </si>
  <si>
    <t>Return on Equity Capital</t>
  </si>
  <si>
    <t>Performance Linked Incentives</t>
  </si>
  <si>
    <t>Form 15</t>
  </si>
  <si>
    <t>Total Expenditure for STU</t>
  </si>
  <si>
    <t>Less: Non Tariff Income</t>
  </si>
  <si>
    <t>Less: Income from application fees for OA, GNA and Connectivity</t>
  </si>
  <si>
    <t>Form 9A</t>
  </si>
  <si>
    <t>Annual Fixed Charges for STU</t>
  </si>
  <si>
    <t>Form 2:  Summary of Operations and Maintenance Expenses</t>
  </si>
  <si>
    <t>O&amp;M Expenses</t>
  </si>
  <si>
    <t xml:space="preserve">R&amp;M Expenses </t>
  </si>
  <si>
    <t xml:space="preserve">A&amp;G Expenses </t>
  </si>
  <si>
    <t>Total Operation &amp; Maintenance Expenses</t>
  </si>
  <si>
    <t>Opex Schemes</t>
  </si>
  <si>
    <t xml:space="preserve">Projected </t>
  </si>
  <si>
    <t>System Automation</t>
  </si>
  <si>
    <t>New Technology</t>
  </si>
  <si>
    <t>I.T. Implementation</t>
  </si>
  <si>
    <t>PSSE Software (Liscence Fee)</t>
  </si>
  <si>
    <t>CAD+MS Office (Subscription Fee)</t>
  </si>
  <si>
    <t>Maintainence for PMT</t>
  </si>
  <si>
    <t>Maintainence for ATC MTC</t>
  </si>
  <si>
    <t>Website</t>
  </si>
  <si>
    <t>Total for Opex Schemes</t>
  </si>
  <si>
    <r>
      <rPr>
        <b/>
        <sz val="11"/>
        <rFont val="Times New Roman"/>
        <family val="1"/>
      </rPr>
      <t>Note</t>
    </r>
    <r>
      <rPr>
        <sz val="11"/>
        <rFont val="Times New Roman"/>
        <family val="1"/>
      </rPr>
      <t>: STU shall submit detailed justification, cost benefit analysis of opex schemes and savings in O&amp;M expenses, if any</t>
    </r>
  </si>
  <si>
    <t>Form 2.1:  Operation and Maintenance Expenses -Normative</t>
  </si>
  <si>
    <t>Approved O&amp;M Expenses*</t>
  </si>
  <si>
    <t>5-Year Average (Year ended March 2022)</t>
  </si>
  <si>
    <t>Normative#</t>
  </si>
  <si>
    <t>FY 2019-20</t>
  </si>
  <si>
    <t>FY 2020-21</t>
  </si>
  <si>
    <t>FY 2021-22</t>
  </si>
  <si>
    <t>FY 2022-23</t>
  </si>
  <si>
    <t>FY 2023-24</t>
  </si>
  <si>
    <t>FY 2024-25</t>
  </si>
  <si>
    <t>(a)</t>
  </si>
  <si>
    <t>(b)</t>
  </si>
  <si>
    <t xml:space="preserve">(c) </t>
  </si>
  <si>
    <t>(d)</t>
  </si>
  <si>
    <t xml:space="preserve">(e) </t>
  </si>
  <si>
    <t>(f) =               [(a)+(b)+(c )+(d)+(e )]/5</t>
  </si>
  <si>
    <t>(g)</t>
  </si>
  <si>
    <t>Normative$</t>
  </si>
  <si>
    <t xml:space="preserve">Projected$$ </t>
  </si>
  <si>
    <t xml:space="preserve">Employee Expenses </t>
  </si>
  <si>
    <t>A&amp;G Expenses</t>
  </si>
  <si>
    <t>R &amp; M Expenses</t>
  </si>
  <si>
    <t>Total O&amp;M Expenses</t>
  </si>
  <si>
    <t>Sharing of Gains/(Losses)</t>
  </si>
  <si>
    <t>Total O&amp;M Expenses after sharing of Gains/(losses)</t>
  </si>
  <si>
    <t>Notes:</t>
  </si>
  <si>
    <t xml:space="preserve">*Trued-up O&amp;M expenses after adding/deducting share of efficiency gains/losses shall be considered </t>
  </si>
  <si>
    <t># Normative O&amp;M expenses for FY 2024-25 to be computed by escalating twice with an escalation rate of 20% weightage of WPI of the respective past five financial years and 80% weightage of CPI of the respective past five financial years</t>
  </si>
  <si>
    <t>$ Normative O&amp;M expenses for each Year of the Control Period to be computed by escalating (e) by WPI (20%) &amp; CPI (80%) of respective past five financial years, reduced by efficiency factor of 1%</t>
  </si>
  <si>
    <t>$$ In case Projected O&amp;M expenses for Control Period are different from Normative O&amp;M expenses, then detailed justification should be provided</t>
  </si>
  <si>
    <t>Normative</t>
  </si>
  <si>
    <t>Proposed</t>
  </si>
  <si>
    <t>Escalation Rate for FY 2022-23</t>
  </si>
  <si>
    <t>Escalation Rate for FY 2023-24</t>
  </si>
  <si>
    <t>Escalation Rate for FY 2024-25</t>
  </si>
  <si>
    <t>Reduced Escalation Rate for 5th Control Period</t>
  </si>
  <si>
    <t>Form 2.2: Employee Expenses</t>
  </si>
  <si>
    <t>Actual Data based on Allocation Statement</t>
  </si>
  <si>
    <t>(All Values in INR)</t>
  </si>
  <si>
    <t>Values in Lacs</t>
  </si>
  <si>
    <t>Projected Normative Employee Expenses for FY 2024-25</t>
  </si>
  <si>
    <t>Normative Values for FY 2025-26 to FY 2029-30</t>
  </si>
  <si>
    <t>Projected Proposed Employee Expenses for FY 2024-25</t>
  </si>
  <si>
    <t>Proposed Employee Expenses for FY 2025-26 to FY 2029-30</t>
  </si>
  <si>
    <t>5-Year &amp; (Year ended March 2022)</t>
  </si>
  <si>
    <t>Proposed#</t>
  </si>
  <si>
    <t>Basic Salary</t>
  </si>
  <si>
    <t>As per data shared by HR</t>
  </si>
  <si>
    <t>Dearness Allowance (DA)</t>
  </si>
  <si>
    <t>House Rent Allowance</t>
  </si>
  <si>
    <t>Conveyance Allowance</t>
  </si>
  <si>
    <t>Leave Travel Allowance</t>
  </si>
  <si>
    <t>As per STU very few employee took LTA and they will share data</t>
  </si>
  <si>
    <t>Earned Leave Encashment</t>
  </si>
  <si>
    <t>Other Allowances</t>
  </si>
  <si>
    <t>Book &amp; Periodicals included under A&amp;G as well as Other Allowance</t>
  </si>
  <si>
    <t>Medical Reimbursement</t>
  </si>
  <si>
    <t>Mediclaim policy from MSETCL was considered and Medical Reimbursement was calculated based on actual number of employees</t>
  </si>
  <si>
    <t>Overtime Payment</t>
  </si>
  <si>
    <t>There is no provision for Overtime payment</t>
  </si>
  <si>
    <t>Bonus/Ex-Gratia Payments</t>
  </si>
  <si>
    <t xml:space="preserve">Interim Relief / Wage Revision </t>
  </si>
  <si>
    <t>No recent wage revision</t>
  </si>
  <si>
    <t>Staff welfare expenses</t>
  </si>
  <si>
    <t>VRS Expenses/Retrenchment Compensation</t>
  </si>
  <si>
    <t>No such provision</t>
  </si>
  <si>
    <t>Commission to Directors</t>
  </si>
  <si>
    <t>Training Expenses</t>
  </si>
  <si>
    <t>Based on STU Training Mandays data shared by HR</t>
  </si>
  <si>
    <t>Payment under Workmen's Compensation Act</t>
  </si>
  <si>
    <t>Net Employee Costs</t>
  </si>
  <si>
    <t>Terminal Benefits</t>
  </si>
  <si>
    <t>Provident Fund Contribution</t>
  </si>
  <si>
    <t>Provision for PF Fund</t>
  </si>
  <si>
    <t>Pension Payments</t>
  </si>
  <si>
    <t>No Pension payments done</t>
  </si>
  <si>
    <t>Gratuity Payment</t>
  </si>
  <si>
    <t>Leave encashment on Retirement</t>
  </si>
  <si>
    <t xml:space="preserve">Gross Employee Expenses </t>
  </si>
  <si>
    <t>Less: Expenses Capitalised</t>
  </si>
  <si>
    <t>STU has no assets for which the O&amp;M expense need to be capitalized</t>
  </si>
  <si>
    <t xml:space="preserve">Net Employee Expenses </t>
  </si>
  <si>
    <t>No Overtime in STU</t>
  </si>
  <si>
    <t>No wage relief</t>
  </si>
  <si>
    <t>No vrs taken by anyone</t>
  </si>
  <si>
    <t>No payment to director</t>
  </si>
  <si>
    <t>No payment unde rworks man</t>
  </si>
  <si>
    <t>This head not applicable</t>
  </si>
  <si>
    <t>No such benefits as per STU</t>
  </si>
  <si>
    <t>No PF Fund for STU</t>
  </si>
  <si>
    <t>no pension payment</t>
  </si>
  <si>
    <t>Salary Data Received from HR</t>
  </si>
  <si>
    <t>Technical Staff Salary for FY 2024-25</t>
  </si>
  <si>
    <t>Additional Employees required for FY 2025-26:</t>
  </si>
  <si>
    <t>Designation</t>
  </si>
  <si>
    <t>Technical Post:</t>
  </si>
  <si>
    <t>SE 1</t>
  </si>
  <si>
    <t>SE2</t>
  </si>
  <si>
    <t>EE 1</t>
  </si>
  <si>
    <t>EE 2</t>
  </si>
  <si>
    <t>EE 3</t>
  </si>
  <si>
    <t>AEE 1</t>
  </si>
  <si>
    <t>AEE 2</t>
  </si>
  <si>
    <t>AEE 3</t>
  </si>
  <si>
    <t>AEE 4</t>
  </si>
  <si>
    <t>Dy EE 1</t>
  </si>
  <si>
    <t>DyEE 2</t>
  </si>
  <si>
    <t>DyEE 3</t>
  </si>
  <si>
    <t>Executive Director</t>
  </si>
  <si>
    <t>Sr No</t>
  </si>
  <si>
    <t>Name of the Post</t>
  </si>
  <si>
    <t>Number of Employees</t>
  </si>
  <si>
    <t>Total (Adding ED Salary)</t>
  </si>
  <si>
    <t>Additional Employee Expenses for FY 2025-26</t>
  </si>
  <si>
    <t>Superintending Engineer (TBCB)</t>
  </si>
  <si>
    <t>Executive Engineer (TBCB)</t>
  </si>
  <si>
    <t>Additional Executive Engineer (TBCB)</t>
  </si>
  <si>
    <t>Deputy Executive Engineer (TBCB)</t>
  </si>
  <si>
    <t>Executive Engineer (MMR Region Proposed)</t>
  </si>
  <si>
    <t>Additional Executive Engineer (MMR Region Proposed)</t>
  </si>
  <si>
    <t>Deputy Executive Engineer (MMR Region Proposed)</t>
  </si>
  <si>
    <t>Total Proposed Technical Position for FY 2025-26</t>
  </si>
  <si>
    <t>Additional Employees required for FY 2026-27:</t>
  </si>
  <si>
    <t>Non-Technical Staff Salary for FY 2024-25</t>
  </si>
  <si>
    <t>Finance &amp; Accounts</t>
  </si>
  <si>
    <t>Technical</t>
  </si>
  <si>
    <t>Superintending Engineer (Monitoring)</t>
  </si>
  <si>
    <t>Total</t>
  </si>
  <si>
    <t>AGM (F&amp;A)</t>
  </si>
  <si>
    <t>Dy. Manager (F&amp;A)</t>
  </si>
  <si>
    <t>Assitant Accountant 1</t>
  </si>
  <si>
    <t>Assitant Accountant 2</t>
  </si>
  <si>
    <t>LDC (Fi) 1</t>
  </si>
  <si>
    <t>LDC (Fi) 2</t>
  </si>
  <si>
    <t>Legal Advisor</t>
  </si>
  <si>
    <t>Executive Engineer (Monitoring)</t>
  </si>
  <si>
    <t>Additional Executive Engineer (Monitoring)</t>
  </si>
  <si>
    <t>Deputy Executive Engineer (Monitoring)</t>
  </si>
  <si>
    <t>Total Proposed Technical Position for FY 2026-27</t>
  </si>
  <si>
    <t>Non-Technical Post:</t>
  </si>
  <si>
    <t>Assistant General Manager (Finance)</t>
  </si>
  <si>
    <t>Assistant Accountant (Finance)</t>
  </si>
  <si>
    <t>Lower Division Clerks (Finance)</t>
  </si>
  <si>
    <t>Human Resources</t>
  </si>
  <si>
    <t>Assistant General Manager (HR)</t>
  </si>
  <si>
    <t>Non-Technical</t>
  </si>
  <si>
    <t>Manager (HR)</t>
  </si>
  <si>
    <t>AGM (HR)</t>
  </si>
  <si>
    <t>Head Clerk 1</t>
  </si>
  <si>
    <t>LDC (HR) 1</t>
  </si>
  <si>
    <t>Additional Employee Expenses for FY 2026-27</t>
  </si>
  <si>
    <t>Head Clerc 2</t>
  </si>
  <si>
    <t>LDC (HR) 2</t>
  </si>
  <si>
    <t>Head Clerk (HR)</t>
  </si>
  <si>
    <t>Lower Division Clerk (HR)</t>
  </si>
  <si>
    <t>Total Proposed Non-Technical Position for FY 2026-27</t>
  </si>
  <si>
    <t xml:space="preserve">this has to be removed as it is included in Sanctioned </t>
  </si>
  <si>
    <t>Form 2.3: Administrative &amp; General Expenses</t>
  </si>
  <si>
    <t>Projected Normative A&amp;G Expenses for FY 2024-25</t>
  </si>
  <si>
    <t>Projected Proposed A&amp;G Expenses for FY 2024-25</t>
  </si>
  <si>
    <t>5-Year &amp; 
6 Year Average (Year ended March 2022)</t>
  </si>
  <si>
    <t>Proposed Projected A&amp;G Values for FY 2025-26 to FY 2029-30</t>
  </si>
  <si>
    <t>Data Basis</t>
  </si>
  <si>
    <t>FY 208-29</t>
  </si>
  <si>
    <t xml:space="preserve">Rent </t>
  </si>
  <si>
    <t>Actual</t>
  </si>
  <si>
    <t>Calculated by multiplying Rs 226.58*1630Sqft*12</t>
  </si>
  <si>
    <t>Rates &amp; Taxes</t>
  </si>
  <si>
    <t>Employee Ratio</t>
  </si>
  <si>
    <t>Calculated by multiplying the values from MSETCL trial balance sheet with Employee Ratio (Ratio - 0.00195; Percentage - 0.195%)</t>
  </si>
  <si>
    <t>Insurance of Assets (vehicle)</t>
  </si>
  <si>
    <t>Owned vehicle Insurance</t>
  </si>
  <si>
    <t>Telephone &amp; Postage, etc.</t>
  </si>
  <si>
    <t>Civil Ratio</t>
  </si>
  <si>
    <t>Actual bill for Prakashganga building multiplied by Civil Ratio</t>
  </si>
  <si>
    <t>Legal charges &amp; Audit fee</t>
  </si>
  <si>
    <t>Actuals from PO</t>
  </si>
  <si>
    <t>Audit Fee(HO)</t>
  </si>
  <si>
    <t>Calculated by multiplying the values from MSETCL trial balance sheet with Employee Ratio (Ratio - 0.00195; Percentage - 0.195%) (Statutory Audit)</t>
  </si>
  <si>
    <t>Audit Fee</t>
  </si>
  <si>
    <t>Professional, Consultancy, Technical fee</t>
  </si>
  <si>
    <t>Actual+External Consultant Fees for FY 24</t>
  </si>
  <si>
    <t>Actuals from PO+External Consultant Fees for FY 24 (Ramkrishnan Fees)</t>
  </si>
  <si>
    <t>Conveyance &amp; Travel</t>
  </si>
  <si>
    <t>Electricity charges</t>
  </si>
  <si>
    <t>Water charges</t>
  </si>
  <si>
    <t>Gas charges</t>
  </si>
  <si>
    <t>Security arrangements</t>
  </si>
  <si>
    <t>Fees &amp; subscription</t>
  </si>
  <si>
    <t>Actuals from TB of STU</t>
  </si>
  <si>
    <t>Books &amp; periodicals</t>
  </si>
  <si>
    <t>Computer Stationery</t>
  </si>
  <si>
    <t>Employee Ratio + Actual</t>
  </si>
  <si>
    <t>1) For 2019-20 to 2021-22 the Values from MSETCL TB has been Multiplied by the Employee Ratio and 
2) For remaining years data is as per actuals from STU TB</t>
  </si>
  <si>
    <t>Printing &amp; Stationery</t>
  </si>
  <si>
    <t xml:space="preserve">Advertisements </t>
  </si>
  <si>
    <t>Advertisements</t>
  </si>
  <si>
    <t>Purchase Related Advertisement Expenses</t>
  </si>
  <si>
    <t>Purchase Related Advertisement Expenses (tender adv) po</t>
  </si>
  <si>
    <t>License Fee and other related fee</t>
  </si>
  <si>
    <t>License Fee  and other related fee</t>
  </si>
  <si>
    <t xml:space="preserve">Vehicle Running Expenses </t>
  </si>
  <si>
    <t>Actual Expense received from STU</t>
  </si>
  <si>
    <t>Vehicle Hiring Expenses</t>
  </si>
  <si>
    <t>V-sat, Internet and related charges</t>
  </si>
  <si>
    <t>Miscellaneous Expenses</t>
  </si>
  <si>
    <t>Calculated by multiplying the values from MSETCL trial balance sheet with Civil Percentage</t>
  </si>
  <si>
    <t>Office Expenses</t>
  </si>
  <si>
    <t>Actual+Civil Ratio+Accomodation for CE</t>
  </si>
  <si>
    <r>
      <t>Actual Imprest data, accomodation for CE expense provided by STU. Also Includes AC plant, lift maintenance, fire, water pump, electric maintenance,CCTV and</t>
    </r>
    <r>
      <rPr>
        <sz val="10"/>
        <color theme="1"/>
        <rFont val="Times New Roman"/>
        <family val="1"/>
      </rPr>
      <t xml:space="preserve"> House</t>
    </r>
    <r>
      <rPr>
        <sz val="10"/>
        <rFont val="Times New Roman"/>
        <family val="1"/>
      </rPr>
      <t>keeping  for Prakashganga building based on Civil Ratio.</t>
    </r>
  </si>
  <si>
    <t>Gross A&amp;G Expenses</t>
  </si>
  <si>
    <t xml:space="preserve">Net A&amp;G Expenses </t>
  </si>
  <si>
    <t>Form 2.4: Repairs &amp; Maintenance Expenses</t>
  </si>
  <si>
    <t>Projected Normative R&amp;M Expenses for FY 2024-25</t>
  </si>
  <si>
    <t>Projected Proposed R&amp;M Expenses for FY 2024-25</t>
  </si>
  <si>
    <t>Proposed R&amp;M Expenses for FY 2025-26 to FY 2029-30</t>
  </si>
  <si>
    <t>Plant &amp; Machinery</t>
  </si>
  <si>
    <t>Buildings</t>
  </si>
  <si>
    <t>Civil Works</t>
  </si>
  <si>
    <t>Hydraulic Works</t>
  </si>
  <si>
    <t>Lines &amp; Cable Networks</t>
  </si>
  <si>
    <t>Vehicles</t>
  </si>
  <si>
    <t>Furniture &amp; Fixtures</t>
  </si>
  <si>
    <t>Office Equipment</t>
  </si>
  <si>
    <t>Gross R&amp;M Expenses</t>
  </si>
  <si>
    <t xml:space="preserve">Net R&amp;M Expenses </t>
  </si>
  <si>
    <t>Form 3:  Summary of Capital Expenditure and Capitalisation</t>
  </si>
  <si>
    <t>Capital Expenditure</t>
  </si>
  <si>
    <t>Capitalisation</t>
  </si>
  <si>
    <t>IDC</t>
  </si>
  <si>
    <t>Capitalisation + IDC</t>
  </si>
  <si>
    <t>Note</t>
  </si>
  <si>
    <t>Detailed Justification shall be provided for variation in approved capital expenditure and capitalisation vis-a-vis actual capital expenditure and capitalisation</t>
  </si>
  <si>
    <t xml:space="preserve">Form 3.1: Capital Expenditure Plan </t>
  </si>
  <si>
    <t>Project Details</t>
  </si>
  <si>
    <t>Project Code</t>
  </si>
  <si>
    <t>Project Title</t>
  </si>
  <si>
    <t>MERC Approval No.</t>
  </si>
  <si>
    <t>MERC Approval Date</t>
  </si>
  <si>
    <t>Project Purpose</t>
  </si>
  <si>
    <t>Project Start Date</t>
  </si>
  <si>
    <t>Project Completion date 
(Scheduled)</t>
  </si>
  <si>
    <t>Capital Cost</t>
  </si>
  <si>
    <t>Original</t>
  </si>
  <si>
    <t>Revised</t>
  </si>
  <si>
    <t xml:space="preserve">Actual </t>
  </si>
  <si>
    <t>Approved</t>
  </si>
  <si>
    <t>Actual Capital Cost Incurred</t>
  </si>
  <si>
    <t xml:space="preserve">Deviation = Approved - Actual on account of </t>
  </si>
  <si>
    <t>Change in Scope of Work (a)</t>
  </si>
  <si>
    <t>Material Cost (b)</t>
  </si>
  <si>
    <t>IDC (c)</t>
  </si>
  <si>
    <t>Others (d)</t>
  </si>
  <si>
    <t>Total Deviation (a+b+c+d)</t>
  </si>
  <si>
    <t>a) DPR Schemes</t>
  </si>
  <si>
    <t>(i) In-principle approved by MERC</t>
  </si>
  <si>
    <t>…</t>
  </si>
  <si>
    <t>(ii) Yet to receive in-principle MERC approval</t>
  </si>
  <si>
    <t>b) Non-DPR Schemes</t>
  </si>
  <si>
    <t>PMT for RTM/TBCB Project</t>
  </si>
  <si>
    <t>GNA Portal</t>
  </si>
  <si>
    <t>Combined Single Window for Grid Connectivity</t>
  </si>
  <si>
    <t>PLEXOS (perpetual license)</t>
  </si>
  <si>
    <t>TOTAL</t>
  </si>
  <si>
    <t>Financing Plan</t>
  </si>
  <si>
    <t>Project Number</t>
  </si>
  <si>
    <t>Source of Financing for Capital Expenditure</t>
  </si>
  <si>
    <t>Internal Accruals</t>
  </si>
  <si>
    <t>Equity</t>
  </si>
  <si>
    <t>Debt</t>
  </si>
  <si>
    <t>Loan Amount</t>
  </si>
  <si>
    <t>Interest Rate (% p.a.)</t>
  </si>
  <si>
    <t>Tenure of Loan (years)</t>
  </si>
  <si>
    <t>Moratorium Period (years)</t>
  </si>
  <si>
    <t>Loan Source</t>
  </si>
  <si>
    <t>NA</t>
  </si>
  <si>
    <t>Normative Loan</t>
  </si>
  <si>
    <r>
      <rPr>
        <b/>
        <sz val="11"/>
        <rFont val="Times New Roman"/>
        <family val="1"/>
      </rPr>
      <t>Note</t>
    </r>
    <r>
      <rPr>
        <sz val="11"/>
        <rFont val="Times New Roman"/>
        <family val="1"/>
      </rPr>
      <t>: Expenses that would be classified as O&amp;M expenses shall not be categorised under non-DPR schemes</t>
    </r>
  </si>
  <si>
    <t xml:space="preserve">Form 3.2: Capitalisation Plan </t>
  </si>
  <si>
    <t>MERC Approved Cost</t>
  </si>
  <si>
    <t>Debt Equity Ratio</t>
  </si>
  <si>
    <t>Grants</t>
  </si>
  <si>
    <t>Approved Start Date</t>
  </si>
  <si>
    <t>Actual Start Date</t>
  </si>
  <si>
    <t>Approved Date of Completion</t>
  </si>
  <si>
    <t>Actual Date of Completion</t>
  </si>
  <si>
    <t>Benefits in Quantified Terms</t>
  </si>
  <si>
    <t>Physical Progress (%)</t>
  </si>
  <si>
    <t xml:space="preserve">Capitalization </t>
  </si>
  <si>
    <t>Reasons for Delay, if any</t>
  </si>
  <si>
    <t>Estimated</t>
  </si>
  <si>
    <t>Change in Scope of Work</t>
  </si>
  <si>
    <t>Any other reason</t>
  </si>
  <si>
    <t>MTC ATC Billing</t>
  </si>
  <si>
    <t>STU Website Development</t>
  </si>
  <si>
    <t>RTM/TBCB</t>
  </si>
  <si>
    <t>GNA</t>
  </si>
  <si>
    <t>PLEXOS (Perpetual License)</t>
  </si>
  <si>
    <t>Form 3.3:  Capital Work-in-progress - Project-wise details</t>
  </si>
  <si>
    <t>Approved Project Cost</t>
  </si>
  <si>
    <t>Cumulative Expenditure Incurred till beginning of the Year</t>
  </si>
  <si>
    <t>Capital Expenditure Capitalised</t>
  </si>
  <si>
    <t>Opening CWIP</t>
  </si>
  <si>
    <t>Investment during the year</t>
  </si>
  <si>
    <t>Capital Work in Progress</t>
  </si>
  <si>
    <t>Closing CWIP</t>
  </si>
  <si>
    <t>Works Capitalised</t>
  </si>
  <si>
    <t>Interest Capitalised</t>
  </si>
  <si>
    <t>Expenses Capitalised</t>
  </si>
  <si>
    <t>Total Capitalisation</t>
  </si>
  <si>
    <t>Form 4 (F4.1 (E )+F4.1 (N)) : Assets &amp; Depreciation</t>
  </si>
  <si>
    <t xml:space="preserve">       </t>
  </si>
  <si>
    <t>(A) Gross Fixed Assets</t>
  </si>
  <si>
    <t>Balance at the beginning of the year</t>
  </si>
  <si>
    <t>Additions during the year</t>
  </si>
  <si>
    <t>Retirement of assets during the year</t>
  </si>
  <si>
    <t>Balance at the end of the year</t>
  </si>
  <si>
    <t>(c)</t>
  </si>
  <si>
    <t>(d) = (a)+(b)-(c)</t>
  </si>
  <si>
    <t>(e)</t>
  </si>
  <si>
    <t>(f)</t>
  </si>
  <si>
    <t>(h) = (e)+(f)-(g)</t>
  </si>
  <si>
    <t>(i)</t>
  </si>
  <si>
    <t>(j)</t>
  </si>
  <si>
    <t>(k) = (i)+(j)-(k)</t>
  </si>
  <si>
    <t>(l)</t>
  </si>
  <si>
    <t>(m)</t>
  </si>
  <si>
    <t>(n)</t>
  </si>
  <si>
    <t>(o) = (l)+(m)-(n)</t>
  </si>
  <si>
    <t>(p)</t>
  </si>
  <si>
    <t>(q)</t>
  </si>
  <si>
    <t>(r)</t>
  </si>
  <si>
    <t>(s) = (p)+(q)-(r)</t>
  </si>
  <si>
    <t>Vehicle</t>
  </si>
  <si>
    <t>PC(desktop)</t>
  </si>
  <si>
    <t>MTC-ATC</t>
  </si>
  <si>
    <t>Combined Single window</t>
  </si>
  <si>
    <t>Plexos</t>
  </si>
  <si>
    <r>
      <rPr>
        <b/>
        <sz val="11"/>
        <rFont val="Times New Roman"/>
        <family val="1"/>
      </rPr>
      <t>Note</t>
    </r>
    <r>
      <rPr>
        <sz val="11"/>
        <rFont val="Times New Roman"/>
        <family val="1"/>
      </rPr>
      <t>: Documentary evidence of all assets put to use during the completed Years shall be provided with this format</t>
    </r>
  </si>
  <si>
    <t>(B) Depreciation</t>
  </si>
  <si>
    <t>Accumulated depreciation at the beginning of the year</t>
  </si>
  <si>
    <t>Withdrawals during the year</t>
  </si>
  <si>
    <t>Accumulated depreciation at the end of the year</t>
  </si>
  <si>
    <t>Combined Single window for GC</t>
  </si>
  <si>
    <r>
      <rPr>
        <b/>
        <sz val="11"/>
        <rFont val="Times New Roman"/>
        <family val="1"/>
      </rPr>
      <t>Note</t>
    </r>
    <r>
      <rPr>
        <sz val="11"/>
        <rFont val="Times New Roman"/>
        <family val="1"/>
      </rPr>
      <t>: 1. MSLDC shall submit certification from the Statutory Auditor for the capping of depreciation at ninety per cent of the allowable capital cost of the asset</t>
    </r>
  </si>
  <si>
    <t>Documentary evidence of all assets put to use during the completed Years shall be provided with this format</t>
  </si>
  <si>
    <t>(C ) Net Fixed Assets</t>
  </si>
  <si>
    <t>MTC ATC</t>
  </si>
  <si>
    <t>Form 4.1 (E): Assets &amp; Depreciation - Existing Schemes (CoD on or before the March 31, 2025 or Assets in-principally approved  before the notification of MERC MYT Regulations 2024)</t>
  </si>
  <si>
    <t>PC(Desktop)</t>
  </si>
  <si>
    <t>Form 4.1 (N): Assets &amp; Depreciation - New Schemes  (not covered under Existing Assets)</t>
  </si>
  <si>
    <t>PMT for TBCB</t>
  </si>
  <si>
    <t>=</t>
  </si>
  <si>
    <t>Form 5: Interest on Loan Capital</t>
  </si>
  <si>
    <t>A) Normative Loan</t>
  </si>
  <si>
    <t xml:space="preserve">Sr. No. </t>
  </si>
  <si>
    <t>Source of Loan</t>
  </si>
  <si>
    <t>Ensuing Years (Projected)</t>
  </si>
  <si>
    <t>Opening Balance of Gross Normative Loan</t>
  </si>
  <si>
    <t>Cumulative Repayment till the year</t>
  </si>
  <si>
    <t>Opening Balance of Net Normative Loan</t>
  </si>
  <si>
    <t>Less: Reduction of Normative Loan due to retirement or replacement of assets</t>
  </si>
  <si>
    <t>Addition of Normative Loan due to capitalisation during the year</t>
  </si>
  <si>
    <t>Repayment of Normative loan during the year</t>
  </si>
  <si>
    <t>Closing Balance of Net Normative Loan</t>
  </si>
  <si>
    <t>Closing Balance of Gross Normative Loan</t>
  </si>
  <si>
    <t>Average Balance of Net Normative Loan</t>
  </si>
  <si>
    <t>Weighted average Rate of Interest on actual Loans (%)</t>
  </si>
  <si>
    <t>Interest Expenses</t>
  </si>
  <si>
    <t>Financing Charges</t>
  </si>
  <si>
    <t>Total Interest &amp; Financing Charges</t>
  </si>
  <si>
    <t>B) Existing Actual Long-term Loans</t>
  </si>
  <si>
    <t>Loan 1</t>
  </si>
  <si>
    <t>Opening Balance of Loan</t>
  </si>
  <si>
    <t>Addition of Loan during the year</t>
  </si>
  <si>
    <t>Loan Repayment during the year</t>
  </si>
  <si>
    <t>Closing Balance of Loan</t>
  </si>
  <si>
    <t>Average Loan Balance</t>
  </si>
  <si>
    <t>Applicable Interest Rate (%)</t>
  </si>
  <si>
    <t>Loan 2</t>
  </si>
  <si>
    <t>Loan 3</t>
  </si>
  <si>
    <t>Gross Interest Expenses</t>
  </si>
  <si>
    <t xml:space="preserve">Net Interest Expenses </t>
  </si>
  <si>
    <t>Note: * In case MTR Order is yet to be issued, MYT Order values are to be entered here</t>
  </si>
  <si>
    <t>Separate detailed computations for FERV component to be submitted</t>
  </si>
  <si>
    <t>C ) Actual Loans drawn during the year</t>
  </si>
  <si>
    <t>Form 6: Interest on Working Capital</t>
  </si>
  <si>
    <t>Computation of Working Capital</t>
  </si>
  <si>
    <t>Operations and Maintenance Expenses for one month</t>
  </si>
  <si>
    <t>One and a half month equivalent of expected revenue from levy of Annual Fixed Charges</t>
  </si>
  <si>
    <t>Total Working Capital Requirement</t>
  </si>
  <si>
    <t>Computation of working capital interest</t>
  </si>
  <si>
    <t>Rate of Interest (% p.a.) - SBI Base Rate plus 150 basis points</t>
  </si>
  <si>
    <t>SBI MCLR Rate effective from 15th October, 2024 is 8.95%</t>
  </si>
  <si>
    <t>&lt;Name of the Transmission Licensee&gt;</t>
  </si>
  <si>
    <t>MYT Petition Formats - STU</t>
  </si>
  <si>
    <t>Form 12 A: Income Tax Rate for Fifth Control Period</t>
  </si>
  <si>
    <t>Formula</t>
  </si>
  <si>
    <t>Income Tax Rate of the Company (%) *</t>
  </si>
  <si>
    <t>Rate of Return on Equity (%)</t>
  </si>
  <si>
    <t>Rate of Pre Tax Return on Equity (%)</t>
  </si>
  <si>
    <t>c = b /(1-a)</t>
  </si>
  <si>
    <r>
      <rPr>
        <b/>
        <sz val="11"/>
        <color rgb="FF000000"/>
        <rFont val="Times New Roman"/>
        <family val="1"/>
      </rPr>
      <t>Note</t>
    </r>
    <r>
      <rPr>
        <sz val="11"/>
        <color rgb="FF000000"/>
        <rFont val="Times New Roman"/>
        <family val="1"/>
      </rPr>
      <t xml:space="preserve">: </t>
    </r>
  </si>
  <si>
    <t xml:space="preserve">*Latest available MAT Rate shall be considered for projections. </t>
  </si>
  <si>
    <t xml:space="preserve">MYT Petition Formats - STU Charges </t>
  </si>
  <si>
    <t>Form 9: Return on Regulatory Equity</t>
  </si>
  <si>
    <t>MTR Order*</t>
  </si>
  <si>
    <t>April-March      (Audited )</t>
  </si>
  <si>
    <t>True-Up requirement</t>
  </si>
  <si>
    <t>Provisional True-Up requirement</t>
  </si>
  <si>
    <t>(c ) = (b) - (a)</t>
  </si>
  <si>
    <t>(f ) = (e) - (d)</t>
  </si>
  <si>
    <t>(h)</t>
  </si>
  <si>
    <t>(i) = (h) - (g)</t>
  </si>
  <si>
    <t>Regulatory Equity at the beginning of the year</t>
  </si>
  <si>
    <t>Capitalisation during the year</t>
  </si>
  <si>
    <t>Consumer Contribution and Grants used during the year for Capitalisation</t>
  </si>
  <si>
    <t>Equity portion of capitalisation during the year</t>
  </si>
  <si>
    <t>Reduction in Equity Capital on account of retirement / replacement of assets</t>
  </si>
  <si>
    <t>Regulatory Equity at the end of the year</t>
  </si>
  <si>
    <t>Return on Equity Computation</t>
  </si>
  <si>
    <t>Return on Regulatory Equity at the beginning of the year</t>
  </si>
  <si>
    <t>Return on Regulatory Equity addition during the year</t>
  </si>
  <si>
    <t>Total Return on Equity</t>
  </si>
  <si>
    <r>
      <rPr>
        <b/>
        <sz val="11"/>
        <rFont val="Times New Roman"/>
        <family val="1"/>
      </rPr>
      <t>Note</t>
    </r>
    <r>
      <rPr>
        <sz val="11"/>
        <rFont val="Times New Roman"/>
        <family val="1"/>
      </rPr>
      <t>: * In case MTR Order is yet to be issued, MYT Order values are to be entered here</t>
    </r>
  </si>
  <si>
    <t xml:space="preserve">Maharashtra State Transmission Utility
MYT Petition Formats  - Fees and Charges for STU 
Form 8:  Return on Regulatory Equity </t>
  </si>
  <si>
    <t xml:space="preserve">Regulatory Equity at the beginning of the year </t>
  </si>
  <si>
    <t>Capitalisation during the year**</t>
  </si>
  <si>
    <t>Equity portion of capitalisation during the year #</t>
  </si>
  <si>
    <t xml:space="preserve">Return on Equity </t>
  </si>
  <si>
    <t>Pretax Return on Equity after considering Income Tax rate approved $$</t>
  </si>
  <si>
    <t xml:space="preserve">Return on Regulatory Equity at the beginning of the year </t>
  </si>
  <si>
    <t xml:space="preserve">Return on Regulatory Equity addition during the year </t>
  </si>
  <si>
    <r>
      <rPr>
        <b/>
        <sz val="11"/>
        <rFont val="Times New Roman"/>
        <family val="1"/>
      </rPr>
      <t>Note</t>
    </r>
    <r>
      <rPr>
        <sz val="11"/>
        <rFont val="Times New Roman"/>
        <family val="1"/>
      </rPr>
      <t>: # Equity balance for the fifth Control Period exceeding the difference between the sum of cumulative ROE allowed, efficiency gains /losses, incentives and disincentives &amp; income earned from investment of return on equity, and the cumulative equity investment approved by the Commission in previous years, shall be supported by documentary evidence</t>
    </r>
  </si>
  <si>
    <t>**Any additional capitalization after cut-off date excluding due to Change in Law shall be as per the second proviso of Regulation 29.1 of the MERC MYT Regulations, 2024</t>
  </si>
  <si>
    <t>$$ Pre tax Retrun on Equity to be considered as computed in Form 12 based on Income tax rate approved</t>
  </si>
  <si>
    <t>Form 9:  Non-Tariff Income</t>
  </si>
  <si>
    <t>Income from Sale of Scrap</t>
  </si>
  <si>
    <t>Income from Investments</t>
  </si>
  <si>
    <t>Interest income on advances to suppliers/contractors</t>
  </si>
  <si>
    <t>Income from rental from staff quarters</t>
  </si>
  <si>
    <t>Income from sale of Tender documents</t>
  </si>
  <si>
    <t>A Tender Fees of 5,900 (inclusive of GST) is considered per tender for FY 2025-26 for. STU is exptected to identify atleast 5 tenders per financial year to carry out different activities for legal and consultancy services. Escalation applicable for O&amp;M expenses has been applied for projections till FY 2029-30</t>
  </si>
  <si>
    <t>Average Number of Tender</t>
  </si>
  <si>
    <t>Tender Fees</t>
  </si>
  <si>
    <t>No of Tenders</t>
  </si>
  <si>
    <t>Average no of tenders in a year</t>
  </si>
  <si>
    <t>GST</t>
  </si>
  <si>
    <t>Escalation rate</t>
  </si>
  <si>
    <t>Tender Fees (INR Lakhs)</t>
  </si>
  <si>
    <t>Form 9 A:  Income from Application Fee</t>
  </si>
  <si>
    <t>Income from application fees from Open Access (OA)</t>
  </si>
  <si>
    <t xml:space="preserve">Income from application fees for Connectivity </t>
  </si>
  <si>
    <t xml:space="preserve">old values </t>
  </si>
  <si>
    <t>Number of Application</t>
  </si>
  <si>
    <t>Fees</t>
  </si>
  <si>
    <t>2019-20</t>
  </si>
  <si>
    <t>2020-21</t>
  </si>
  <si>
    <t>2021-22</t>
  </si>
  <si>
    <t>2022-23</t>
  </si>
  <si>
    <t>2023-24</t>
  </si>
  <si>
    <t>2024-25</t>
  </si>
  <si>
    <t>Number of Applications SWH</t>
  </si>
  <si>
    <t>Number of Applications Cogen</t>
  </si>
  <si>
    <t>Number of EHV Application</t>
  </si>
  <si>
    <t>Number of Open Access/GNA/NOC applications</t>
  </si>
  <si>
    <t>Categorization of OpenAccess/GNA/NOC applications</t>
  </si>
  <si>
    <t>MTOA Application</t>
  </si>
  <si>
    <t>LTOA Application</t>
  </si>
  <si>
    <t>NOC Application</t>
  </si>
  <si>
    <t>Application Fees</t>
  </si>
  <si>
    <t>Applications SWH</t>
  </si>
  <si>
    <t>Applications Cogen</t>
  </si>
  <si>
    <t>EHV Application</t>
  </si>
  <si>
    <t>GNA-NOC Application</t>
  </si>
  <si>
    <t>CAGR</t>
  </si>
  <si>
    <t>Projected Income from Open Access/GC application for 5th Contrl Period.</t>
  </si>
  <si>
    <t>Particular</t>
  </si>
  <si>
    <t>FY 2024-25 (Derived)</t>
  </si>
  <si>
    <t>Income from application fees from Open Access (OA)/GC</t>
  </si>
  <si>
    <t>CAGR 34%</t>
  </si>
  <si>
    <t>10% escalation</t>
  </si>
  <si>
    <t>Form 11: Revenue from Transmission System Users and others</t>
  </si>
  <si>
    <t>Year : FY 2025-26</t>
  </si>
  <si>
    <t>S. No.</t>
  </si>
  <si>
    <t>Apr</t>
  </si>
  <si>
    <t>May</t>
  </si>
  <si>
    <t>Jun</t>
  </si>
  <si>
    <t>Jul</t>
  </si>
  <si>
    <t>Aug</t>
  </si>
  <si>
    <t>Sep</t>
  </si>
  <si>
    <t>Oct</t>
  </si>
  <si>
    <t>Nov</t>
  </si>
  <si>
    <t>Dec</t>
  </si>
  <si>
    <t>Jan</t>
  </si>
  <si>
    <t>Feb</t>
  </si>
  <si>
    <t>Mar</t>
  </si>
  <si>
    <t>Revenue from Annual Fixed Charges</t>
  </si>
  <si>
    <t>i</t>
  </si>
  <si>
    <t>MSEDCL</t>
  </si>
  <si>
    <t>ii</t>
  </si>
  <si>
    <t>TPCL-D</t>
  </si>
  <si>
    <t>iii</t>
  </si>
  <si>
    <t>AEML-D</t>
  </si>
  <si>
    <t>iv</t>
  </si>
  <si>
    <t>BEST</t>
  </si>
  <si>
    <t>v</t>
  </si>
  <si>
    <t>Indian Railways (Deemed Distribution Licencees)</t>
  </si>
  <si>
    <t>vi</t>
  </si>
  <si>
    <t>Mindspace Properties  (Deemed Distribution Licencees)</t>
  </si>
  <si>
    <t>vii</t>
  </si>
  <si>
    <t>Gigaplex Properties  (Deemed Distribution Licencees)</t>
  </si>
  <si>
    <t>viii</t>
  </si>
  <si>
    <t>KRC Infratructure   (Deemed Distribution Licencees)</t>
  </si>
  <si>
    <t>ix</t>
  </si>
  <si>
    <t>Nidar Utilities</t>
  </si>
  <si>
    <t>x</t>
  </si>
  <si>
    <t>MADC</t>
  </si>
  <si>
    <t>xi</t>
  </si>
  <si>
    <t xml:space="preserve">E ON Phase-1 </t>
  </si>
  <si>
    <t>xii</t>
  </si>
  <si>
    <t>E ON Phase-2</t>
  </si>
  <si>
    <t>xiii</t>
  </si>
  <si>
    <t>JNPT</t>
  </si>
  <si>
    <t>xiv</t>
  </si>
  <si>
    <t>Laxmipati Balaji</t>
  </si>
  <si>
    <t>xv</t>
  </si>
  <si>
    <t>AEML SEEPZ Ltd</t>
  </si>
  <si>
    <t>HADAPSAR SEZ</t>
  </si>
  <si>
    <t>MANJARI SEZ</t>
  </si>
  <si>
    <t>MITL</t>
  </si>
  <si>
    <t>Income from Open Access Charges</t>
  </si>
  <si>
    <t>Any other revenue/ Income</t>
  </si>
  <si>
    <t>Total Revenue</t>
  </si>
  <si>
    <t>Year : FY 2026-27</t>
  </si>
  <si>
    <t>Transmission System User 1</t>
  </si>
  <si>
    <t>Transmission System User 2</t>
  </si>
  <si>
    <t>… … …</t>
  </si>
  <si>
    <t>Year : FY 2027-28</t>
  </si>
  <si>
    <t>Year : FY 2028-29</t>
  </si>
  <si>
    <t>Year : FY 2029-30</t>
  </si>
  <si>
    <t>*Projections od POA for 5th Control Period as per 21% CAGR</t>
  </si>
  <si>
    <t>2025-26</t>
  </si>
  <si>
    <t>2026-27</t>
  </si>
  <si>
    <t>2027-28</t>
  </si>
  <si>
    <t>2028-29</t>
  </si>
  <si>
    <t>2029-30</t>
  </si>
  <si>
    <t>April</t>
  </si>
  <si>
    <t>June</t>
  </si>
  <si>
    <t>July</t>
  </si>
  <si>
    <t xml:space="preserve">sept </t>
  </si>
  <si>
    <r>
      <t xml:space="preserve">oct </t>
    </r>
    <r>
      <rPr>
        <b/>
        <vertAlign val="superscript"/>
        <sz val="8"/>
        <color rgb="FF000000"/>
        <rFont val="Calibri"/>
        <family val="2"/>
      </rPr>
      <t>*#</t>
    </r>
  </si>
  <si>
    <t>nov</t>
  </si>
  <si>
    <t>dec</t>
  </si>
  <si>
    <t>feb</t>
  </si>
  <si>
    <t>march</t>
  </si>
  <si>
    <t>Average</t>
  </si>
  <si>
    <t>20-21</t>
  </si>
  <si>
    <t>Average (Oct 23-24 - Sept 24-25)</t>
  </si>
  <si>
    <t>21-22</t>
  </si>
  <si>
    <t>Average (Nov 23-24 - Oct 24-25)</t>
  </si>
  <si>
    <t>22-23</t>
  </si>
  <si>
    <t>23-24</t>
  </si>
  <si>
    <t>24-25</t>
  </si>
  <si>
    <t>Source: POA data as per 15 min time block received from MSEDCL</t>
  </si>
  <si>
    <t>*For October 24-25 we have considered the Average of POA demand for last 4 years data for the month of OCT</t>
  </si>
  <si>
    <t>#For October 24-25 the data for POA not provided by MSEDCL</t>
  </si>
  <si>
    <t>Sept</t>
  </si>
  <si>
    <t>Avg</t>
  </si>
  <si>
    <t>25-26</t>
  </si>
  <si>
    <t>26-27</t>
  </si>
  <si>
    <t>27-28</t>
  </si>
  <si>
    <t>28-29</t>
  </si>
  <si>
    <t>29-30</t>
  </si>
  <si>
    <t>xvi</t>
  </si>
  <si>
    <t>xvii</t>
  </si>
  <si>
    <t>xviii</t>
  </si>
  <si>
    <t>Form 11: Coincident and Non-Coincident Peak Demand</t>
  </si>
  <si>
    <t>Year : FY 2023-24 (Actual)</t>
  </si>
  <si>
    <t>A) Coincident Peak Demand (MW)</t>
  </si>
  <si>
    <t>MW</t>
  </si>
  <si>
    <t>MITL-Bidkin</t>
  </si>
  <si>
    <t>MITL- Shendri</t>
  </si>
  <si>
    <t>B) Non-Coincident Peak Demand (MW)</t>
  </si>
  <si>
    <t>C) Average of CPD and NCPD (MW)</t>
  </si>
  <si>
    <t>Year : FY 24-25 (Actual)</t>
  </si>
  <si>
    <t>MITL- Bidkin</t>
  </si>
  <si>
    <t>MITL- Shendra</t>
  </si>
  <si>
    <t>Billed Open Access Demand of Partial Open Access Users</t>
  </si>
  <si>
    <t>Yet to receive details</t>
  </si>
  <si>
    <t>MSEDCL*</t>
  </si>
  <si>
    <t>TPC-D</t>
  </si>
  <si>
    <t>*Monthly Average of POA data receieved from MSEDCL</t>
  </si>
  <si>
    <t>Projected Open Access Demand of Partial Open Access Users*</t>
  </si>
  <si>
    <t>CAGR 21%</t>
  </si>
  <si>
    <t xml:space="preserve">*Justification and basis for projection to be submitted </t>
  </si>
  <si>
    <t xml:space="preserve">Based on CAGR </t>
  </si>
  <si>
    <t>Checked all ok</t>
  </si>
  <si>
    <t>Form 12: Sharing of STU Charges (Including POA Capacity)</t>
  </si>
  <si>
    <t>A) Base Transmission Capacity Rights</t>
  </si>
  <si>
    <t>4 Year CAGR based on Demand Projections of TSUs</t>
  </si>
  <si>
    <t>TCR (MW)</t>
  </si>
  <si>
    <t>TCR (%)</t>
  </si>
  <si>
    <t>CAGR from 2020-21 to 2023-24 of 6.4% was identified to evaluate projected demand from 2024-25 to 2029-30</t>
  </si>
  <si>
    <t>MITL - Bidkin</t>
  </si>
  <si>
    <t>MITL - Shendra</t>
  </si>
  <si>
    <t>Total Transmission Capacity Rights of all TSUs</t>
  </si>
  <si>
    <t>B) Sharing of STU Charges</t>
  </si>
  <si>
    <t>Annual Fixed Charges (Rs. Lakh)</t>
  </si>
  <si>
    <t>xix</t>
  </si>
  <si>
    <t>Form 12: Sharing of STU Charges (Without POA Capacity)</t>
  </si>
  <si>
    <t>CAGR from 2020-21 to 2023-24 of 6.4% was evaluated to project demand from 2024-25 to 2029-30</t>
  </si>
  <si>
    <t>Maharashtra State Load Despatch Centre</t>
  </si>
  <si>
    <t>Form 13:  Quantum of Energy Transmitted and Intra-State Transmission Loss</t>
  </si>
  <si>
    <t>(MU)</t>
  </si>
  <si>
    <t>Particulars
Projected</t>
  </si>
  <si>
    <t>Energy (Input)</t>
  </si>
  <si>
    <t>Energy (Sent out)</t>
  </si>
  <si>
    <t>Transmission Loss (%)</t>
  </si>
  <si>
    <t>Form 14:  Depreciation Schedule</t>
  </si>
  <si>
    <t>Land</t>
  </si>
  <si>
    <t>Year</t>
  </si>
  <si>
    <t>Asset as on 1st April/Asset Addition during the Year</t>
  </si>
  <si>
    <t>Depreciation as on 1st April 2010</t>
  </si>
  <si>
    <t>Depreciation Rate for that Year</t>
  </si>
  <si>
    <t>Depreciation during the Year</t>
  </si>
  <si>
    <t>Depriciation as on 1st april</t>
  </si>
  <si>
    <t>Asset crossing 90% depreciation</t>
  </si>
  <si>
    <t>Remaining Depreciable value</t>
  </si>
  <si>
    <t>2005-06</t>
  </si>
  <si>
    <t>2006-07</t>
  </si>
  <si>
    <t>2007-08</t>
  </si>
  <si>
    <t>2008-09</t>
  </si>
  <si>
    <t>2009-10</t>
  </si>
  <si>
    <t>2010-11</t>
  </si>
  <si>
    <t>2011-12</t>
  </si>
  <si>
    <t>2012-13</t>
  </si>
  <si>
    <t>2013-14</t>
  </si>
  <si>
    <t>2014-15</t>
  </si>
  <si>
    <t>2015-16</t>
  </si>
  <si>
    <t>2016-17</t>
  </si>
  <si>
    <t>2017-18</t>
  </si>
  <si>
    <t>2018-19</t>
  </si>
  <si>
    <t xml:space="preserve">Opening </t>
  </si>
  <si>
    <t>Addition</t>
  </si>
  <si>
    <t>Building</t>
  </si>
  <si>
    <t>Asset as on 1st April 2010</t>
  </si>
  <si>
    <t>Hydraulic</t>
  </si>
  <si>
    <t>Other Civil work</t>
  </si>
  <si>
    <t>Plant and Machinery</t>
  </si>
  <si>
    <t>Lines and Cable Network</t>
  </si>
  <si>
    <t xml:space="preserve"> </t>
  </si>
  <si>
    <t>Furniture</t>
  </si>
  <si>
    <t>Form 18:  Key Performance Indicators for STU</t>
  </si>
  <si>
    <t>S.No.</t>
  </si>
  <si>
    <t>Parameters</t>
  </si>
  <si>
    <t>Maximum Marks</t>
  </si>
  <si>
    <t>Actual Marks obtained</t>
  </si>
  <si>
    <t>Performance/ Marks Criteria</t>
  </si>
  <si>
    <t>(A)
Stakeholders Satisfaction</t>
  </si>
  <si>
    <t xml:space="preserve">Planning: Planning of new proposals of InSTS with the use of field data, study and finalization of planning.   </t>
  </si>
  <si>
    <t xml:space="preserve">Use of field data for finalization of planning of new InSTS proposals. </t>
  </si>
  <si>
    <t>Percentage of use of latest field data for planning proposals shall be taken in to consideration deciding marks obtained.</t>
  </si>
  <si>
    <t>Open Access: Grant of non-discriminatory open access to InSTS through grant of Connectivity &amp; GNA.</t>
  </si>
  <si>
    <t xml:space="preserve">Number of applications in a year for issuance of connectivity and GNA. </t>
  </si>
  <si>
    <t>No. of connectivity not granted and GNA not approved for which no compliance is needed from applicant shall  be considered for determining the marks obtained.</t>
  </si>
  <si>
    <t>Project Monitoring: STU is responsible for monitoring of projects. On line data from various projects.</t>
  </si>
  <si>
    <t>`</t>
  </si>
  <si>
    <t>STU efforts for monitoring intra state projects and submitting the progress of on going project to the Commission shall be used for determining the percentage marks obtained.</t>
  </si>
  <si>
    <t>STU is the Nodal Agency for TBCB projects.  Monitoring of progress of TBCB projects</t>
  </si>
  <si>
    <t>On going TBCB projects within the state and detail progress reports of project collected and informed to MERC.</t>
  </si>
  <si>
    <t>The progress report submitted to the Commission compared to ongoing projects under TBCB shall be considered for  determining the percentage marks obtained.</t>
  </si>
  <si>
    <t>Coordination with CTU for CTU-STU projects by providing state specific data.</t>
  </si>
  <si>
    <t xml:space="preserve">No. of CTU-STU coordination meeting conducted in year. </t>
  </si>
  <si>
    <t>No. of meetings STU represented by the state and clearance obtained for STU projects shall be considered for the percentage marks obtained.</t>
  </si>
  <si>
    <t>Coordination meetings with intra-state entities for various planning activities.</t>
  </si>
  <si>
    <t>No. of intra-state meetings conducted in years for intra state planning.</t>
  </si>
  <si>
    <t>No. of clearance for intra-state projects shall be considered for the percentage marks obtained.</t>
  </si>
  <si>
    <t>7*</t>
  </si>
  <si>
    <t>Submission of 5-year STU plan proposal to the Commission and updating the proposal every year.</t>
  </si>
  <si>
    <t xml:space="preserve">STU shall submit 5-year plan proposal to the Commission in stipulated time. </t>
  </si>
  <si>
    <t>Every one month delay and part thereof  shall reduce 10 marks obtained by STU for every month delay in submission of 5-year plan.</t>
  </si>
  <si>
    <t>Sub-total</t>
  </si>
  <si>
    <t>(B)
Financial Prudence</t>
  </si>
  <si>
    <t>STU is responsible for raising transmission bills, collection and disbursement of transmission charges to InSTS transmission licensees.</t>
  </si>
  <si>
    <t xml:space="preserve">Issuance of transmission charges bills as per InSTS order, collection of transmission charges and disbursement of transmission charges to transmission licensees. </t>
  </si>
  <si>
    <t xml:space="preserve">Short fall of transmission charges for disbursement among transmission licensees. </t>
  </si>
  <si>
    <t xml:space="preserve">Any delay by one (1) day for issuance and disbursement of transmission charges bills shall reduce 5 % percentage. Overall annul performance shall be considered for determination marks obtained.  </t>
  </si>
  <si>
    <t>Statutory Compliance of the following Audits:</t>
  </si>
  <si>
    <t>P= A/B*100</t>
  </si>
  <si>
    <t>i. Internal Audit (Phase I)</t>
  </si>
  <si>
    <t>A: Number of Audits complied during the year</t>
  </si>
  <si>
    <t>ii. Internal Audit (Phase II)</t>
  </si>
  <si>
    <t>Target (B)= 4 Audits</t>
  </si>
  <si>
    <t>iii. Physical Verification Audit</t>
  </si>
  <si>
    <t>Subtotal</t>
  </si>
  <si>
    <t xml:space="preserve">(C)
Learning &amp; Growth </t>
  </si>
  <si>
    <t>New technology adoption / R&amp;D/new software deployed.</t>
  </si>
  <si>
    <t>P= IF (A&gt;=B, 50,0)</t>
  </si>
  <si>
    <t>A: number of new technologies adopted</t>
  </si>
  <si>
    <t>B: Target number (1)</t>
  </si>
  <si>
    <t>Availability of IT software: such as Load Flow software, Short Circuit Studies etc.</t>
  </si>
  <si>
    <t>P= IF (A&gt;=B, 50, IF (A=1, 30, 0))</t>
  </si>
  <si>
    <t>A: Number of times software used.</t>
  </si>
  <si>
    <t>B: Target number (2)</t>
  </si>
  <si>
    <t>Capacity Building: No. of man- days per year per eligible employee</t>
  </si>
  <si>
    <t>P= {100-(100-A)/2}/100*50</t>
  </si>
  <si>
    <t xml:space="preserve">A= Percentage no. of employees deputed for training/Seminar/Workshops for more than or equal to mandated 7 days as on last date of the financial year </t>
  </si>
  <si>
    <t>ISO Certification</t>
  </si>
  <si>
    <t>P= A/B*50</t>
  </si>
  <si>
    <t>A= Number of ISO standards that are active for all days in a year.</t>
  </si>
  <si>
    <t xml:space="preserve">B=Number of ISO standards </t>
  </si>
  <si>
    <t>Form 15.1:  KPIs for STU: Stakeholder Satisfaction</t>
  </si>
  <si>
    <t xml:space="preserve">(1) Planning </t>
  </si>
  <si>
    <t>Justification</t>
  </si>
  <si>
    <t>Number of Proposals for Intra State Transmission Planning</t>
  </si>
  <si>
    <t>The number of ongoing Intra state projects have been stated here as per 10 year rolling plan of STU</t>
  </si>
  <si>
    <t>(2) Open Access: Grant of non-discriminatory open access to InSTS through grant of Connectivity &amp; GNA.</t>
  </si>
  <si>
    <t>Based on historical trends and calculated Compound Annual Growth Rate (CAGR), STU has determined a base number of applications for General Network Access (GNA) and connectivity. To streamline and enhance the quality of connectivity applications, STU intends to implement more stringent procedures for grid connectivity. As a result, STU anticipates a moderated growth rate in application volume, projecting a 10% increase from the base value derived through CAGR analysis. This approach aligns with STU’s objective of fostering a more robust and efficient grid connectivity process and  to ensure that only genuine developers apply for grid connectivity, thus helping to regulate the number of applications received by STU and optimize the allocation of transmission capacity.</t>
  </si>
  <si>
    <t>No. of connectivity not granted and GNA not approved for which no compliance is needed from applicant</t>
  </si>
  <si>
    <t>(3) Project Monitoring: On line data from various projects.</t>
  </si>
  <si>
    <t>Number of ongoing projects of intra-state transmission licensees</t>
  </si>
  <si>
    <t>No. of progress reports of project collected</t>
  </si>
  <si>
    <t>STU has implemented a half-yearly review process for all ongoing projects to enhance project oversight and ensure timely progress</t>
  </si>
  <si>
    <t>(4) Monitoring of progress of TBCB projects</t>
  </si>
  <si>
    <t>No. of On going TBCB projects within the state</t>
  </si>
  <si>
    <t>The number of TBCB projects have been stated as per 10 year rolling plan of STU</t>
  </si>
  <si>
    <t>No. of Progress reports of project collected and submitted to MERC.</t>
  </si>
  <si>
    <t>(5) Coordination with CTU for CTU-STU projects by providing state specific data.</t>
  </si>
  <si>
    <t>STU has comprehensively planned the Maharashtra Network upto year 2032-33 considering the upcoming load as per 20th EPS, upcoming RE Generators within the state and outside the state, PSPs, Green Hydrogen and Datacenters. The STU plan also consist of upcoming CTU network and its connectivity with Maharashtra network. As such, this CTU-STU connectivity and associated network coming in upcoming years will be discussed CTU-STU evolving committee meeting. Hence, STU has considered the number of schemes proposed in new corridor, which will be discussed and approved in the CTU-STU meeting in future time frame.</t>
  </si>
  <si>
    <t>No of clearance obtained for STU projects</t>
  </si>
  <si>
    <t>(6) Coordination meetings with intra-state entities for various planning activities.</t>
  </si>
  <si>
    <t>No. of intra-state meetings conducted in years for intra state planning</t>
  </si>
  <si>
    <t xml:space="preserve">No of InSTS meetings conducted in year  are as per Maharashtra State Grid Code Regulations 2020 according to Regulation 5.5a </t>
  </si>
  <si>
    <t>No. of clearance obtained for intra-state projects</t>
  </si>
  <si>
    <t>As part of the regulatory process, STU conducts quarterly MTC meetings to address transmission clearances across various utilities. On an average around 60 clearances are reviewed and obtained in each session, facilitating smooth coordination and compliance among utilities involved in transmission projects and maintenance activities. These meetings serve as a platform for addressing key issues, ensuring that regulatory and operational standards are met consistently</t>
  </si>
  <si>
    <t>(7) Submission of 5-year STU plan proposal to the Commission and updating the proposal every year</t>
  </si>
  <si>
    <t>Submission of 5-year plan by STU to the Commission within  stipulated time
(Actual Date to be filled)</t>
  </si>
  <si>
    <t>31.12.24</t>
  </si>
  <si>
    <t>31.12.25</t>
  </si>
  <si>
    <t>31.12.26</t>
  </si>
  <si>
    <t>31.12.27</t>
  </si>
  <si>
    <t>31.12.28</t>
  </si>
  <si>
    <t>The mentioned dates for submission of 5 year plan by STU are in accordance with MEGC regulations 2020, Regulation 12.13</t>
  </si>
  <si>
    <t>Form 15.2:  KPIs for STU: Financial Prudence</t>
  </si>
  <si>
    <t>(8) Issuance of Monthly Transmission Bill (</t>
  </si>
  <si>
    <t>STU serves 19 distinct Transmission System Users (TSUs) and, in accordance with the InSTS Order, is responsible for issuing transmission charge bills, collecting transmission charges, and disbursing these charges to various transmission licensees. To streamline these processes, STU is also developing a software solution for MTC (Monthly Transmission Charges) and ATC (Aggregate Transmission Charges) billing. This solution will enhance STU’s efficiency in generating bills and managing the collection of transmission charges, thereby supporting effective financial management and operational transparency.</t>
  </si>
  <si>
    <t>(9) Audit Compliances: Number of Audits complied during the year</t>
  </si>
  <si>
    <t>Internal Audits (Phase I)</t>
  </si>
  <si>
    <t>The Finance team of MSETCL conducts approximately four internal audits each year. Based on this practice, we have projected a similar frequency for internal audits in the upcoming control period.</t>
  </si>
  <si>
    <t>Internal Audits (Phase II)</t>
  </si>
  <si>
    <t>Physical Verification Audit</t>
  </si>
  <si>
    <t xml:space="preserve">Form 15.3:  KPIs for STU: Learning &amp; Growth </t>
  </si>
  <si>
    <t>(10) New technology adoption / R&amp;D</t>
  </si>
  <si>
    <t>Number of new technologies adopted</t>
  </si>
  <si>
    <t>As per STU's Capex Plan, several technologies are envisioned for implementation in the upcoming control period. These planned technological advancements aim to enhance operational efficiency, improve system reliability, and support the strategic objectives of STU.
Following is the Plan:
1) FY 25-26 : PMT for TBCB Project (RTM/TBCB)
2) FY 26-27: GNA integration Window
3) FY 27-28: Combined Single Window for Grid Connectivity
4) FY 28-29: Plexos
5) FY 29-30:NA</t>
  </si>
  <si>
    <t>(11) Availability of IT Softwares: Number of times software used</t>
  </si>
  <si>
    <t>Load Flow Software, Short Circuit Studies</t>
  </si>
  <si>
    <t>"1) As per the STU 10 year plan for for Maharashtra state, a comprehensive load flow study is carried out by STU considering existing and proposed all india transmission network to remove transmission constraints and ensure robust planning to mitigate the upcoming load and evacuate the upcoming RE/ Conventional Generation. These studies are conducted in coordination with various Discoms, Transmission Licensees in Maharashtra and CTU to analyze and validate the Proposed Network under varying load/ Generation conditions.  
2) STU is carrying out load flow simulation to grant Grid Connectivity to upcoming RE Generators, IPPs, PSPs, EHV Consumers and Datacenter loads. 
3)A detailed short-circuit studies are performedby STU by creating simulated 3 phase and 1 phase faults in the substation buses to determine if the equipment in a system is properly rated to handle potential fault currents. This can help increase the reliability and longevity of the system. Also, Short circuit Studies are required to design and coordinate protective devices. Every Year STU conducts Short Circuit Studies on the existing/ planned substations on yearly basis considering the increase in elements and enhanced network."</t>
  </si>
  <si>
    <t>(12) Capacity Building: No. of man- days per year per eligible employee</t>
  </si>
  <si>
    <t xml:space="preserve">Percentage no. of employees trained for more than or equal to mandated 7 days as on last date of the financial year </t>
  </si>
  <si>
    <t>Following discussions with the HR team, STU plans to encourage employee participation in various trainings, seminars, and workshops. The HR department is in the process of implementing 7 days mandatory training policy for all employees which aims to foster continuous learning and professional development across the organization.</t>
  </si>
  <si>
    <t>(13) ISO Certification</t>
  </si>
  <si>
    <t xml:space="preserve">Number of ISO standards </t>
  </si>
  <si>
    <t>Previously ISO certification was issued to MSETCL in the year 2007, which was valid till 27 August 2010 .
Since then No ISO Certification Has been done</t>
  </si>
  <si>
    <t xml:space="preserve"> Number of ISO standards that are active for all days in a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</si>
</sst>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_-* #,##0.00_-;\-* #,##0.00_-;_-* &quot;-&quot;??_-;_-@_-"/>
    <numFmt numFmtId="166" formatCode="0.00_)"/>
    <numFmt numFmtId="167" formatCode="&quot;ß&quot;#,##0.00_);\(&quot;ß&quot;#,##0.00\)"/>
    <numFmt numFmtId="168" formatCode="_-* #,##0_-;\-* #,##0_-;_-* &quot;-&quot;??_-;_-@_-"/>
    <numFmt numFmtId="169" formatCode="_ * #,##0_ ;_ * \-#,##0_ ;_ * &quot;-&quot;??_ ;_ @_ "/>
    <numFmt numFmtId="170" formatCode="0.000"/>
    <numFmt numFmtId="171" formatCode="[$-F800]dddd\,\ mmmm\ dd\,\ yyyy"/>
    <numFmt numFmtId="172" formatCode="0.000%"/>
    <numFmt numFmtId="173" formatCode="0.0"/>
    <numFmt numFmtId="174" formatCode="#,##0.00_ ;\-#,##0.00\ "/>
    <numFmt numFmtId="175" formatCode="#,##0.0000000"/>
    <numFmt numFmtId="176" formatCode="_ * #,##0.0000_ ;_ * \-#,##0.0000_ ;_ * &quot;-&quot;??_ ;_ @_ "/>
    <numFmt numFmtId="177" formatCode="_ * #,##0.000_ ;_ * \-#,##0.000_ ;_ * &quot;-&quot;????_ ;_ @_ "/>
    <numFmt numFmtId="178" formatCode="0.0%"/>
    <numFmt numFmtId="179" formatCode="#,##0.000"/>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imes New Roman"/>
      <family val="1"/>
    </font>
    <font>
      <b/>
      <sz val="11"/>
      <name val="Times New Roman"/>
      <family val="1"/>
    </font>
    <font>
      <sz val="10"/>
      <name val="Times New Roman"/>
      <family val="1"/>
    </font>
    <font>
      <b/>
      <sz val="11"/>
      <color indexed="8"/>
      <name val="Times New Roman"/>
      <family val="1"/>
    </font>
    <font>
      <sz val="11"/>
      <color indexed="8"/>
      <name val="Times New Roman"/>
      <family val="1"/>
    </font>
    <font>
      <vertAlign val="superscript"/>
      <sz val="11"/>
      <name val="Times New Roman"/>
      <family val="1"/>
    </font>
    <font>
      <sz val="11"/>
      <color indexed="9"/>
      <name val="Times New Roman"/>
      <family val="1"/>
    </font>
    <font>
      <sz val="11"/>
      <color indexed="13"/>
      <name val="Times New Roman"/>
      <family val="1"/>
    </font>
    <font>
      <sz val="11"/>
      <color indexed="50"/>
      <name val="Times New Roman"/>
      <family val="1"/>
    </font>
    <font>
      <sz val="10"/>
      <name val="Arial"/>
      <family val="2"/>
    </font>
    <font>
      <b/>
      <sz val="11"/>
      <color indexed="13"/>
      <name val="Times New Roman"/>
      <family val="1"/>
    </font>
    <font>
      <sz val="10"/>
      <name val="Arial"/>
      <family val="2"/>
    </font>
    <font>
      <sz val="12"/>
      <name val="Tms Rmn"/>
    </font>
    <font>
      <sz val="10"/>
      <name val="Helv"/>
    </font>
    <font>
      <sz val="8"/>
      <name val="Arial"/>
      <family val="2"/>
    </font>
    <font>
      <b/>
      <sz val="12"/>
      <name val="Arial"/>
      <family val="2"/>
    </font>
    <font>
      <sz val="7"/>
      <name val="Small Fonts"/>
      <family val="2"/>
    </font>
    <font>
      <b/>
      <i/>
      <sz val="16"/>
      <name val="Helv"/>
    </font>
    <font>
      <u/>
      <sz val="11"/>
      <name val="Times New Roman"/>
      <family val="1"/>
    </font>
    <font>
      <sz val="11"/>
      <name val="Arial"/>
      <family val="2"/>
    </font>
    <font>
      <sz val="11"/>
      <color theme="1"/>
      <name val="Calibri"/>
      <family val="2"/>
      <scheme val="minor"/>
    </font>
    <font>
      <sz val="11"/>
      <color theme="1"/>
      <name val="Times New Roman"/>
      <family val="1"/>
    </font>
    <font>
      <b/>
      <sz val="11"/>
      <color theme="1"/>
      <name val="Times New Roman"/>
      <family val="1"/>
    </font>
    <font>
      <sz val="11"/>
      <color indexed="8"/>
      <name val="Calibri"/>
      <family val="2"/>
    </font>
    <font>
      <sz val="11"/>
      <color theme="1"/>
      <name val="Calibri"/>
      <family val="2"/>
    </font>
    <font>
      <b/>
      <sz val="11"/>
      <color indexed="9"/>
      <name val="Times New Roman"/>
      <family val="1"/>
    </font>
    <font>
      <sz val="11"/>
      <color theme="1"/>
      <name val="Book Antiqua"/>
      <family val="1"/>
    </font>
    <font>
      <sz val="10"/>
      <color theme="1"/>
      <name val="Arial"/>
      <family val="2"/>
    </font>
    <font>
      <b/>
      <sz val="10"/>
      <name val="Times New Roman"/>
      <family val="1"/>
    </font>
    <font>
      <b/>
      <sz val="12"/>
      <name val="Times New Roman"/>
      <family val="1"/>
    </font>
    <font>
      <b/>
      <sz val="10"/>
      <color theme="1"/>
      <name val="Arial"/>
      <family val="2"/>
    </font>
    <font>
      <b/>
      <sz val="12"/>
      <color theme="1"/>
      <name val="Arial"/>
      <family val="2"/>
    </font>
    <font>
      <sz val="12"/>
      <name val="Times New Roman"/>
      <family val="1"/>
    </font>
    <font>
      <sz val="11"/>
      <color rgb="FF000000"/>
      <name val="Times New Roman"/>
      <family val="1"/>
    </font>
    <font>
      <b/>
      <sz val="11"/>
      <color rgb="FF000000"/>
      <name val="Times New Roman"/>
      <family val="1"/>
    </font>
    <font>
      <b/>
      <sz val="10"/>
      <name val="Arial"/>
      <family val="2"/>
    </font>
    <font>
      <i/>
      <sz val="11"/>
      <name val="Times New Roman"/>
      <family val="1"/>
    </font>
    <font>
      <sz val="10"/>
      <name val="Arial"/>
      <family val="2"/>
    </font>
    <font>
      <sz val="10"/>
      <name val="Arial"/>
      <family val="2"/>
    </font>
    <font>
      <sz val="10"/>
      <color theme="1"/>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1"/>
      <color theme="1"/>
      <name val="Calibri"/>
      <family val="2"/>
      <charset val="1"/>
      <scheme val="minor"/>
    </font>
    <font>
      <sz val="11"/>
      <color theme="0"/>
      <name val="Calibri"/>
      <family val="2"/>
      <charset val="1"/>
      <scheme val="minor"/>
    </font>
    <font>
      <sz val="11"/>
      <color rgb="FF9C0006"/>
      <name val="Calibri"/>
      <family val="2"/>
      <charset val="1"/>
      <scheme val="minor"/>
    </font>
    <font>
      <b/>
      <sz val="11"/>
      <color rgb="FFFA7D00"/>
      <name val="Calibri"/>
      <family val="2"/>
      <charset val="1"/>
      <scheme val="minor"/>
    </font>
    <font>
      <b/>
      <sz val="11"/>
      <color theme="0"/>
      <name val="Calibri"/>
      <family val="2"/>
      <charset val="1"/>
      <scheme val="minor"/>
    </font>
    <font>
      <i/>
      <sz val="11"/>
      <color rgb="FF7F7F7F"/>
      <name val="Calibri"/>
      <family val="2"/>
      <charset val="1"/>
      <scheme val="minor"/>
    </font>
    <font>
      <sz val="11"/>
      <color rgb="FF006100"/>
      <name val="Calibri"/>
      <family val="2"/>
      <charset val="1"/>
      <scheme val="min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3F3F76"/>
      <name val="Calibri"/>
      <family val="2"/>
      <charset val="1"/>
      <scheme val="minor"/>
    </font>
    <font>
      <sz val="11"/>
      <color rgb="FFFA7D00"/>
      <name val="Calibri"/>
      <family val="2"/>
      <charset val="1"/>
      <scheme val="minor"/>
    </font>
    <font>
      <sz val="11"/>
      <color rgb="FF9C6500"/>
      <name val="Calibri"/>
      <family val="2"/>
      <scheme val="minor"/>
    </font>
    <font>
      <sz val="11"/>
      <color rgb="FF9C6500"/>
      <name val="Calibri"/>
      <family val="2"/>
      <charset val="1"/>
      <scheme val="minor"/>
    </font>
    <font>
      <b/>
      <sz val="11"/>
      <color rgb="FF3F3F3F"/>
      <name val="Calibri"/>
      <family val="2"/>
      <charset val="1"/>
      <scheme val="minor"/>
    </font>
    <font>
      <b/>
      <sz val="18"/>
      <color theme="3"/>
      <name val="Cambria"/>
      <family val="2"/>
      <scheme val="major"/>
    </font>
    <font>
      <b/>
      <sz val="18"/>
      <color theme="3"/>
      <name val="Cambria"/>
      <family val="2"/>
      <charset val="1"/>
      <scheme val="major"/>
    </font>
    <font>
      <b/>
      <sz val="11"/>
      <color theme="1"/>
      <name val="Calibri"/>
      <family val="2"/>
      <charset val="1"/>
      <scheme val="minor"/>
    </font>
    <font>
      <sz val="11"/>
      <color rgb="FFFF0000"/>
      <name val="Calibri"/>
      <family val="2"/>
      <charset val="1"/>
      <scheme val="minor"/>
    </font>
    <font>
      <vertAlign val="superscript"/>
      <sz val="18"/>
      <name val="Times New Roman"/>
      <family val="1"/>
    </font>
    <font>
      <sz val="14"/>
      <color rgb="FF000000"/>
      <name val="Calibri"/>
      <family val="2"/>
    </font>
    <font>
      <sz val="11"/>
      <color rgb="FFFF0000"/>
      <name val="Times New Roman"/>
      <family val="1"/>
    </font>
    <font>
      <sz val="11"/>
      <name val="Calibri"/>
      <family val="2"/>
    </font>
    <font>
      <b/>
      <vertAlign val="superscript"/>
      <sz val="11"/>
      <name val="Times New Roman"/>
      <family val="1"/>
    </font>
    <font>
      <b/>
      <vertAlign val="superscript"/>
      <sz val="12"/>
      <name val="Times New Roman"/>
      <family val="1"/>
    </font>
    <font>
      <b/>
      <sz val="10"/>
      <color theme="1"/>
      <name val="Times New Roman"/>
      <family val="1"/>
    </font>
    <font>
      <sz val="18"/>
      <color theme="3"/>
      <name val="Cambria"/>
      <family val="2"/>
      <scheme val="major"/>
    </font>
    <font>
      <i/>
      <sz val="10"/>
      <name val="Times New Roman"/>
      <family val="1"/>
    </font>
    <font>
      <sz val="10"/>
      <color rgb="FFC00000"/>
      <name val="Times New Roman"/>
      <family val="1"/>
    </font>
    <font>
      <b/>
      <sz val="10"/>
      <color rgb="FF000000"/>
      <name val="Times New Roman"/>
      <family val="1"/>
    </font>
    <font>
      <sz val="10"/>
      <color rgb="FF000000"/>
      <name val="Times New Roman"/>
      <family val="1"/>
    </font>
    <font>
      <sz val="10"/>
      <name val="Aptos"/>
      <family val="2"/>
    </font>
    <font>
      <b/>
      <i/>
      <sz val="10"/>
      <name val="Times New Roman"/>
      <family val="1"/>
    </font>
    <font>
      <sz val="11"/>
      <color theme="0"/>
      <name val="Times New Roman"/>
      <family val="1"/>
    </font>
    <font>
      <b/>
      <u/>
      <sz val="11"/>
      <name val="Times New Roman"/>
      <family val="1"/>
    </font>
    <font>
      <sz val="10"/>
      <color rgb="FFFF0000"/>
      <name val="Times New Roman"/>
      <family val="1"/>
    </font>
    <font>
      <b/>
      <sz val="11"/>
      <color rgb="FF000000"/>
      <name val="Calibri"/>
      <family val="2"/>
    </font>
    <font>
      <i/>
      <sz val="8"/>
      <name val="Times New Roman"/>
      <family val="1"/>
    </font>
    <font>
      <b/>
      <vertAlign val="superscript"/>
      <sz val="8"/>
      <color rgb="FF000000"/>
      <name val="Calibri"/>
      <family val="2"/>
    </font>
    <font>
      <i/>
      <sz val="8"/>
      <color theme="1"/>
      <name val="Calibri"/>
      <family val="2"/>
      <scheme val="minor"/>
    </font>
  </fonts>
  <fills count="5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BCBA3"/>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ABF8F"/>
        <bgColor indexed="64"/>
      </patternFill>
    </fill>
    <fill>
      <patternFill patternType="solid">
        <fgColor rgb="FFDAE9F8"/>
        <bgColor indexed="64"/>
      </patternFill>
    </fill>
    <fill>
      <patternFill patternType="solid">
        <fgColor rgb="FFF7C7AC"/>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4B083"/>
        <bgColor indexed="64"/>
      </patternFill>
    </fill>
    <fill>
      <patternFill patternType="solid">
        <fgColor rgb="FFFCD5B4"/>
        <bgColor rgb="FF000000"/>
      </patternFill>
    </fill>
    <fill>
      <patternFill patternType="solid">
        <fgColor rgb="FF92D050"/>
        <bgColor indexed="64"/>
      </patternFill>
    </fill>
    <fill>
      <patternFill patternType="solid">
        <fgColor theme="9"/>
        <bgColor indexed="64"/>
      </patternFill>
    </fill>
    <fill>
      <patternFill patternType="solid">
        <fgColor rgb="FF00B050"/>
        <bgColor indexed="64"/>
      </patternFill>
    </fill>
  </fills>
  <borders count="39">
    <border>
      <left/>
      <right/>
      <top/>
      <bottom/>
      <diagonal/>
    </border>
    <border>
      <left/>
      <right style="thin">
        <color indexed="8"/>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right style="thin">
        <color indexed="64"/>
      </right>
      <top/>
      <bottom/>
      <diagonal/>
    </border>
  </borders>
  <cellStyleXfs count="239">
    <xf numFmtId="0" fontId="0" fillId="0" borderId="0"/>
    <xf numFmtId="0" fontId="22" fillId="0" borderId="0" applyNumberFormat="0" applyFill="0" applyBorder="0" applyAlignment="0" applyProtection="0"/>
    <xf numFmtId="0" fontId="23" fillId="0" borderId="1"/>
    <xf numFmtId="0" fontId="23" fillId="0" borderId="1"/>
    <xf numFmtId="38" fontId="24" fillId="2" borderId="0" applyNumberFormat="0" applyBorder="0" applyAlignment="0" applyProtection="0"/>
    <xf numFmtId="0" fontId="25" fillId="0" borderId="2" applyNumberFormat="0" applyAlignment="0" applyProtection="0">
      <alignment horizontal="left" vertical="center"/>
    </xf>
    <xf numFmtId="0" fontId="25" fillId="0" borderId="3">
      <alignment horizontal="left" vertical="center"/>
    </xf>
    <xf numFmtId="10" fontId="24" fillId="3" borderId="4" applyNumberFormat="0" applyBorder="0" applyAlignment="0" applyProtection="0"/>
    <xf numFmtId="37" fontId="26" fillId="0" borderId="0"/>
    <xf numFmtId="166" fontId="27" fillId="0" borderId="0"/>
    <xf numFmtId="0" fontId="19" fillId="0" borderId="0"/>
    <xf numFmtId="0" fontId="19" fillId="0" borderId="0"/>
    <xf numFmtId="0" fontId="12" fillId="0" borderId="0"/>
    <xf numFmtId="0" fontId="12" fillId="0" borderId="0"/>
    <xf numFmtId="0" fontId="9" fillId="0" borderId="0">
      <alignment vertical="center"/>
    </xf>
    <xf numFmtId="0" fontId="19" fillId="0" borderId="0">
      <alignment vertical="center"/>
    </xf>
    <xf numFmtId="0" fontId="21" fillId="0" borderId="0">
      <alignment vertical="center"/>
    </xf>
    <xf numFmtId="0" fontId="19" fillId="0" borderId="0">
      <alignment vertical="center"/>
    </xf>
    <xf numFmtId="167" fontId="19" fillId="0" borderId="0" applyFont="0" applyFill="0" applyBorder="0" applyAlignment="0" applyProtection="0"/>
    <xf numFmtId="10" fontId="19" fillId="0" borderId="0" applyFont="0" applyFill="0" applyBorder="0" applyAlignment="0" applyProtection="0"/>
    <xf numFmtId="0" fontId="19" fillId="0" borderId="0"/>
    <xf numFmtId="0" fontId="9" fillId="0" borderId="0" applyBorder="0" applyProtection="0"/>
    <xf numFmtId="0" fontId="30" fillId="0" borderId="0"/>
    <xf numFmtId="43" fontId="30" fillId="0" borderId="0" applyFont="0" applyFill="0" applyBorder="0" applyAlignment="0" applyProtection="0"/>
    <xf numFmtId="9" fontId="30"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9" fillId="0" borderId="0" applyFont="0" applyFill="0" applyBorder="0" applyAlignment="0" applyProtection="0"/>
    <xf numFmtId="164" fontId="33" fillId="0" borderId="0" applyFont="0" applyFill="0" applyBorder="0" applyAlignment="0" applyProtection="0"/>
    <xf numFmtId="43" fontId="9" fillId="0" borderId="0" applyFont="0" applyFill="0" applyBorder="0" applyAlignment="0" applyProtection="0"/>
    <xf numFmtId="165" fontId="33" fillId="0" borderId="0" applyFont="0" applyFill="0" applyBorder="0" applyAlignment="0" applyProtection="0"/>
    <xf numFmtId="0" fontId="19" fillId="0" borderId="0"/>
    <xf numFmtId="0" fontId="19" fillId="0" borderId="0"/>
    <xf numFmtId="0" fontId="19" fillId="0" borderId="0"/>
    <xf numFmtId="0" fontId="19" fillId="0" borderId="0"/>
    <xf numFmtId="0" fontId="34" fillId="0" borderId="0"/>
    <xf numFmtId="0" fontId="19" fillId="0" borderId="0"/>
    <xf numFmtId="0" fontId="30" fillId="0" borderId="0"/>
    <xf numFmtId="0" fontId="33" fillId="0" borderId="0"/>
    <xf numFmtId="0" fontId="33" fillId="0" borderId="0"/>
    <xf numFmtId="0" fontId="30"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0" fontId="9" fillId="0" borderId="0"/>
    <xf numFmtId="0" fontId="9" fillId="0" borderId="0">
      <alignment vertical="center"/>
    </xf>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12" fillId="0" borderId="0"/>
    <xf numFmtId="0" fontId="9" fillId="0" borderId="0">
      <alignment vertical="center"/>
    </xf>
    <xf numFmtId="167" fontId="33"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0" fontId="8" fillId="0" borderId="0"/>
    <xf numFmtId="43" fontId="8" fillId="0" borderId="0" applyFont="0" applyFill="0" applyBorder="0" applyAlignment="0" applyProtection="0"/>
    <xf numFmtId="165" fontId="9"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7" fillId="0" borderId="0"/>
    <xf numFmtId="43" fontId="7" fillId="0" borderId="0" applyFont="0" applyFill="0" applyBorder="0" applyAlignment="0" applyProtection="0"/>
    <xf numFmtId="164" fontId="47" fillId="0" borderId="0" applyFont="0" applyFill="0" applyBorder="0" applyAlignment="0" applyProtection="0"/>
    <xf numFmtId="9" fontId="48"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5" fillId="27" borderId="0" applyNumberFormat="0" applyBorder="0" applyAlignment="0" applyProtection="0"/>
    <xf numFmtId="0" fontId="65" fillId="27" borderId="0" applyNumberFormat="0" applyBorder="0" applyAlignment="0" applyProtection="0"/>
    <xf numFmtId="0" fontId="5" fillId="31" borderId="0" applyNumberFormat="0" applyBorder="0" applyAlignment="0" applyProtection="0"/>
    <xf numFmtId="0" fontId="65" fillId="31" borderId="0" applyNumberFormat="0" applyBorder="0" applyAlignment="0" applyProtection="0"/>
    <xf numFmtId="0" fontId="5" fillId="35" borderId="0" applyNumberFormat="0" applyBorder="0" applyAlignment="0" applyProtection="0"/>
    <xf numFmtId="0" fontId="65" fillId="35" borderId="0" applyNumberFormat="0" applyBorder="0" applyAlignment="0" applyProtection="0"/>
    <xf numFmtId="0" fontId="5" fillId="39" borderId="0" applyNumberFormat="0" applyBorder="0" applyAlignment="0" applyProtection="0"/>
    <xf numFmtId="0" fontId="65" fillId="39" borderId="0" applyNumberFormat="0" applyBorder="0" applyAlignment="0" applyProtection="0"/>
    <xf numFmtId="0" fontId="5" fillId="43" borderId="0" applyNumberFormat="0" applyBorder="0" applyAlignment="0" applyProtection="0"/>
    <xf numFmtId="0" fontId="65" fillId="43" borderId="0" applyNumberFormat="0" applyBorder="0" applyAlignment="0" applyProtection="0"/>
    <xf numFmtId="0" fontId="5" fillId="47" borderId="0" applyNumberFormat="0" applyBorder="0" applyAlignment="0" applyProtection="0"/>
    <xf numFmtId="0" fontId="65" fillId="47" borderId="0" applyNumberFormat="0" applyBorder="0" applyAlignment="0" applyProtection="0"/>
    <xf numFmtId="0" fontId="5" fillId="28" borderId="0" applyNumberFormat="0" applyBorder="0" applyAlignment="0" applyProtection="0"/>
    <xf numFmtId="0" fontId="65" fillId="28" borderId="0" applyNumberFormat="0" applyBorder="0" applyAlignment="0" applyProtection="0"/>
    <xf numFmtId="0" fontId="5" fillId="32" borderId="0" applyNumberFormat="0" applyBorder="0" applyAlignment="0" applyProtection="0"/>
    <xf numFmtId="0" fontId="65" fillId="32" borderId="0" applyNumberFormat="0" applyBorder="0" applyAlignment="0" applyProtection="0"/>
    <xf numFmtId="0" fontId="5" fillId="36" borderId="0" applyNumberFormat="0" applyBorder="0" applyAlignment="0" applyProtection="0"/>
    <xf numFmtId="0" fontId="65" fillId="36" borderId="0" applyNumberFormat="0" applyBorder="0" applyAlignment="0" applyProtection="0"/>
    <xf numFmtId="0" fontId="5" fillId="40" borderId="0" applyNumberFormat="0" applyBorder="0" applyAlignment="0" applyProtection="0"/>
    <xf numFmtId="0" fontId="65" fillId="40" borderId="0" applyNumberFormat="0" applyBorder="0" applyAlignment="0" applyProtection="0"/>
    <xf numFmtId="0" fontId="5" fillId="44" borderId="0" applyNumberFormat="0" applyBorder="0" applyAlignment="0" applyProtection="0"/>
    <xf numFmtId="0" fontId="65" fillId="44" borderId="0" applyNumberFormat="0" applyBorder="0" applyAlignment="0" applyProtection="0"/>
    <xf numFmtId="0" fontId="5" fillId="48" borderId="0" applyNumberFormat="0" applyBorder="0" applyAlignment="0" applyProtection="0"/>
    <xf numFmtId="0" fontId="65" fillId="48" borderId="0" applyNumberFormat="0" applyBorder="0" applyAlignment="0" applyProtection="0"/>
    <xf numFmtId="0" fontId="63" fillId="29" borderId="0" applyNumberFormat="0" applyBorder="0" applyAlignment="0" applyProtection="0"/>
    <xf numFmtId="0" fontId="66" fillId="29" borderId="0" applyNumberFormat="0" applyBorder="0" applyAlignment="0" applyProtection="0"/>
    <xf numFmtId="0" fontId="63" fillId="29" borderId="0" applyNumberFormat="0" applyBorder="0" applyAlignment="0" applyProtection="0"/>
    <xf numFmtId="0" fontId="63" fillId="33" borderId="0" applyNumberFormat="0" applyBorder="0" applyAlignment="0" applyProtection="0"/>
    <xf numFmtId="0" fontId="66" fillId="33" borderId="0" applyNumberFormat="0" applyBorder="0" applyAlignment="0" applyProtection="0"/>
    <xf numFmtId="0" fontId="63" fillId="33" borderId="0" applyNumberFormat="0" applyBorder="0" applyAlignment="0" applyProtection="0"/>
    <xf numFmtId="0" fontId="63" fillId="37" borderId="0" applyNumberFormat="0" applyBorder="0" applyAlignment="0" applyProtection="0"/>
    <xf numFmtId="0" fontId="66" fillId="37" borderId="0" applyNumberFormat="0" applyBorder="0" applyAlignment="0" applyProtection="0"/>
    <xf numFmtId="0" fontId="63" fillId="37" borderId="0" applyNumberFormat="0" applyBorder="0" applyAlignment="0" applyProtection="0"/>
    <xf numFmtId="0" fontId="63" fillId="41" borderId="0" applyNumberFormat="0" applyBorder="0" applyAlignment="0" applyProtection="0"/>
    <xf numFmtId="0" fontId="66" fillId="41" borderId="0" applyNumberFormat="0" applyBorder="0" applyAlignment="0" applyProtection="0"/>
    <xf numFmtId="0" fontId="63" fillId="41" borderId="0" applyNumberFormat="0" applyBorder="0" applyAlignment="0" applyProtection="0"/>
    <xf numFmtId="0" fontId="63" fillId="45" borderId="0" applyNumberFormat="0" applyBorder="0" applyAlignment="0" applyProtection="0"/>
    <xf numFmtId="0" fontId="66" fillId="45" borderId="0" applyNumberFormat="0" applyBorder="0" applyAlignment="0" applyProtection="0"/>
    <xf numFmtId="0" fontId="63" fillId="45" borderId="0" applyNumberFormat="0" applyBorder="0" applyAlignment="0" applyProtection="0"/>
    <xf numFmtId="0" fontId="63" fillId="49" borderId="0" applyNumberFormat="0" applyBorder="0" applyAlignment="0" applyProtection="0"/>
    <xf numFmtId="0" fontId="66" fillId="49" borderId="0" applyNumberFormat="0" applyBorder="0" applyAlignment="0" applyProtection="0"/>
    <xf numFmtId="0" fontId="63" fillId="49" borderId="0" applyNumberFormat="0" applyBorder="0" applyAlignment="0" applyProtection="0"/>
    <xf numFmtId="0" fontId="63" fillId="26" borderId="0" applyNumberFormat="0" applyBorder="0" applyAlignment="0" applyProtection="0"/>
    <xf numFmtId="0" fontId="66" fillId="26" borderId="0" applyNumberFormat="0" applyBorder="0" applyAlignment="0" applyProtection="0"/>
    <xf numFmtId="0" fontId="63" fillId="30" borderId="0" applyNumberFormat="0" applyBorder="0" applyAlignment="0" applyProtection="0"/>
    <xf numFmtId="0" fontId="66" fillId="30" borderId="0" applyNumberFormat="0" applyBorder="0" applyAlignment="0" applyProtection="0"/>
    <xf numFmtId="0" fontId="63" fillId="34" borderId="0" applyNumberFormat="0" applyBorder="0" applyAlignment="0" applyProtection="0"/>
    <xf numFmtId="0" fontId="66" fillId="34" borderId="0" applyNumberFormat="0" applyBorder="0" applyAlignment="0" applyProtection="0"/>
    <xf numFmtId="0" fontId="63" fillId="38" borderId="0" applyNumberFormat="0" applyBorder="0" applyAlignment="0" applyProtection="0"/>
    <xf numFmtId="0" fontId="66" fillId="38" borderId="0" applyNumberFormat="0" applyBorder="0" applyAlignment="0" applyProtection="0"/>
    <xf numFmtId="0" fontId="63" fillId="42" borderId="0" applyNumberFormat="0" applyBorder="0" applyAlignment="0" applyProtection="0"/>
    <xf numFmtId="0" fontId="66" fillId="42" borderId="0" applyNumberFormat="0" applyBorder="0" applyAlignment="0" applyProtection="0"/>
    <xf numFmtId="0" fontId="63" fillId="46" borderId="0" applyNumberFormat="0" applyBorder="0" applyAlignment="0" applyProtection="0"/>
    <xf numFmtId="0" fontId="66" fillId="46" borderId="0" applyNumberFormat="0" applyBorder="0" applyAlignment="0" applyProtection="0"/>
    <xf numFmtId="0" fontId="54" fillId="20" borderId="0" applyNumberFormat="0" applyBorder="0" applyAlignment="0" applyProtection="0"/>
    <xf numFmtId="0" fontId="67" fillId="20" borderId="0" applyNumberFormat="0" applyBorder="0" applyAlignment="0" applyProtection="0"/>
    <xf numFmtId="0" fontId="57" fillId="23" borderId="27" applyNumberFormat="0" applyAlignment="0" applyProtection="0"/>
    <xf numFmtId="0" fontId="68" fillId="23" borderId="27" applyNumberFormat="0" applyAlignment="0" applyProtection="0"/>
    <xf numFmtId="0" fontId="59" fillId="24" borderId="30" applyNumberFormat="0" applyAlignment="0" applyProtection="0"/>
    <xf numFmtId="0" fontId="69" fillId="24" borderId="30" applyNumberFormat="0" applyAlignment="0" applyProtection="0"/>
    <xf numFmtId="164" fontId="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1" fontId="5" fillId="0" borderId="0" applyFont="0" applyFill="0" applyBorder="0" applyAlignment="0" applyProtection="0"/>
    <xf numFmtId="164" fontId="5" fillId="0" borderId="0" applyFont="0" applyFill="0" applyBorder="0" applyAlignment="0" applyProtection="0"/>
    <xf numFmtId="0" fontId="61" fillId="0" borderId="0" applyNumberFormat="0" applyFill="0" applyBorder="0" applyAlignment="0" applyProtection="0"/>
    <xf numFmtId="0" fontId="70" fillId="0" borderId="0" applyNumberFormat="0" applyFill="0" applyBorder="0" applyAlignment="0" applyProtection="0"/>
    <xf numFmtId="0" fontId="53" fillId="19" borderId="0" applyNumberFormat="0" applyBorder="0" applyAlignment="0" applyProtection="0"/>
    <xf numFmtId="0" fontId="71" fillId="19" borderId="0" applyNumberFormat="0" applyBorder="0" applyAlignment="0" applyProtection="0"/>
    <xf numFmtId="0" fontId="50" fillId="0" borderId="24" applyNumberFormat="0" applyFill="0" applyAlignment="0" applyProtection="0"/>
    <xf numFmtId="0" fontId="72" fillId="0" borderId="24" applyNumberFormat="0" applyFill="0" applyAlignment="0" applyProtection="0"/>
    <xf numFmtId="0" fontId="51" fillId="0" borderId="25" applyNumberFormat="0" applyFill="0" applyAlignment="0" applyProtection="0"/>
    <xf numFmtId="0" fontId="73" fillId="0" borderId="25" applyNumberFormat="0" applyFill="0" applyAlignment="0" applyProtection="0"/>
    <xf numFmtId="0" fontId="52" fillId="0" borderId="26" applyNumberFormat="0" applyFill="0" applyAlignment="0" applyProtection="0"/>
    <xf numFmtId="0" fontId="74" fillId="0" borderId="26" applyNumberFormat="0" applyFill="0" applyAlignment="0" applyProtection="0"/>
    <xf numFmtId="0" fontId="52" fillId="0" borderId="0" applyNumberFormat="0" applyFill="0" applyBorder="0" applyAlignment="0" applyProtection="0"/>
    <xf numFmtId="0" fontId="74" fillId="0" borderId="0" applyNumberFormat="0" applyFill="0" applyBorder="0" applyAlignment="0" applyProtection="0"/>
    <xf numFmtId="0" fontId="55" fillId="22" borderId="27" applyNumberFormat="0" applyAlignment="0" applyProtection="0"/>
    <xf numFmtId="0" fontId="75" fillId="22" borderId="27" applyNumberFormat="0" applyAlignment="0" applyProtection="0"/>
    <xf numFmtId="0" fontId="58" fillId="0" borderId="29" applyNumberFormat="0" applyFill="0" applyAlignment="0" applyProtection="0"/>
    <xf numFmtId="0" fontId="76" fillId="0" borderId="29" applyNumberFormat="0" applyFill="0" applyAlignment="0" applyProtection="0"/>
    <xf numFmtId="0" fontId="77" fillId="21" borderId="0" applyNumberFormat="0" applyBorder="0" applyAlignment="0" applyProtection="0"/>
    <xf numFmtId="0" fontId="78" fillId="21" borderId="0" applyNumberFormat="0" applyBorder="0" applyAlignment="0" applyProtection="0"/>
    <xf numFmtId="0" fontId="77" fillId="21" borderId="0" applyNumberFormat="0" applyBorder="0" applyAlignment="0" applyProtection="0"/>
    <xf numFmtId="0" fontId="9" fillId="0" borderId="0"/>
    <xf numFmtId="0" fontId="5" fillId="0" borderId="0"/>
    <xf numFmtId="0" fontId="9" fillId="0" borderId="0"/>
    <xf numFmtId="0" fontId="65" fillId="0" borderId="0"/>
    <xf numFmtId="0" fontId="65" fillId="25" borderId="31" applyNumberFormat="0" applyFont="0" applyAlignment="0" applyProtection="0"/>
    <xf numFmtId="0" fontId="5" fillId="25" borderId="31" applyNumberFormat="0" applyFont="0" applyAlignment="0" applyProtection="0"/>
    <xf numFmtId="0" fontId="56" fillId="23" borderId="28" applyNumberFormat="0" applyAlignment="0" applyProtection="0"/>
    <xf numFmtId="0" fontId="79" fillId="23" borderId="28" applyNumberFormat="0" applyAlignment="0" applyProtection="0"/>
    <xf numFmtId="9" fontId="5" fillId="0" borderId="0" applyFon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62" fillId="0" borderId="32" applyNumberFormat="0" applyFill="0" applyAlignment="0" applyProtection="0"/>
    <xf numFmtId="0" fontId="82" fillId="0" borderId="32" applyNumberFormat="0" applyFill="0" applyAlignment="0" applyProtection="0"/>
    <xf numFmtId="0" fontId="60" fillId="0" borderId="0" applyNumberFormat="0" applyFill="0" applyBorder="0" applyAlignment="0" applyProtection="0"/>
    <xf numFmtId="0" fontId="83" fillId="0" borderId="0" applyNumberFormat="0" applyFill="0" applyBorder="0" applyAlignment="0" applyProtection="0"/>
    <xf numFmtId="164"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0" fontId="87" fillId="0" borderId="0"/>
    <xf numFmtId="0" fontId="4" fillId="0" borderId="0"/>
    <xf numFmtId="0" fontId="91" fillId="0" borderId="0" applyNumberFormat="0" applyFill="0" applyBorder="0" applyAlignment="0" applyProtection="0"/>
    <xf numFmtId="0" fontId="50" fillId="0" borderId="24" applyNumberFormat="0" applyFill="0" applyAlignment="0" applyProtection="0"/>
    <xf numFmtId="0" fontId="51" fillId="0" borderId="25" applyNumberFormat="0" applyFill="0" applyAlignment="0" applyProtection="0"/>
    <xf numFmtId="0" fontId="52" fillId="0" borderId="26" applyNumberFormat="0" applyFill="0" applyAlignment="0" applyProtection="0"/>
    <xf numFmtId="0" fontId="52" fillId="0" borderId="0" applyNumberFormat="0" applyFill="0" applyBorder="0" applyAlignment="0" applyProtection="0"/>
    <xf numFmtId="0" fontId="53" fillId="19" borderId="0" applyNumberFormat="0" applyBorder="0" applyAlignment="0" applyProtection="0"/>
    <xf numFmtId="0" fontId="54" fillId="20" borderId="0" applyNumberFormat="0" applyBorder="0" applyAlignment="0" applyProtection="0"/>
    <xf numFmtId="0" fontId="55" fillId="22" borderId="27" applyNumberFormat="0" applyAlignment="0" applyProtection="0"/>
    <xf numFmtId="0" fontId="56" fillId="23" borderId="28" applyNumberFormat="0" applyAlignment="0" applyProtection="0"/>
    <xf numFmtId="0" fontId="57" fillId="23" borderId="27" applyNumberFormat="0" applyAlignment="0" applyProtection="0"/>
    <xf numFmtId="0" fontId="58" fillId="0" borderId="29" applyNumberFormat="0" applyFill="0" applyAlignment="0" applyProtection="0"/>
    <xf numFmtId="0" fontId="59" fillId="24" borderId="30"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32" applyNumberFormat="0" applyFill="0" applyAlignment="0" applyProtection="0"/>
    <xf numFmtId="0" fontId="6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6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6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6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6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6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25" borderId="31" applyNumberFormat="0" applyFont="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cellStyleXfs>
  <cellXfs count="906">
    <xf numFmtId="0" fontId="0" fillId="0" borderId="0" xfId="0"/>
    <xf numFmtId="0" fontId="10" fillId="0" borderId="0" xfId="0" applyFont="1"/>
    <xf numFmtId="0" fontId="11" fillId="0" borderId="0" xfId="0" applyFont="1" applyAlignment="1">
      <alignment horizontal="centerContinuous"/>
    </xf>
    <xf numFmtId="0" fontId="10" fillId="0" borderId="0" xfId="14" applyFont="1">
      <alignment vertical="center"/>
    </xf>
    <xf numFmtId="0" fontId="10" fillId="0" borderId="4" xfId="14" applyFont="1" applyBorder="1">
      <alignment vertical="center"/>
    </xf>
    <xf numFmtId="0" fontId="11" fillId="0" borderId="0" xfId="14" applyFont="1" applyAlignment="1">
      <alignment horizontal="right" vertical="center"/>
    </xf>
    <xf numFmtId="0" fontId="11" fillId="0" borderId="0" xfId="0" applyFont="1" applyAlignment="1">
      <alignment horizontal="left"/>
    </xf>
    <xf numFmtId="0" fontId="11" fillId="0" borderId="0" xfId="0" applyFont="1" applyAlignment="1">
      <alignment horizontal="right"/>
    </xf>
    <xf numFmtId="0" fontId="11" fillId="0" borderId="0" xfId="0" applyFont="1"/>
    <xf numFmtId="0" fontId="10" fillId="0" borderId="0" xfId="0" applyFont="1" applyAlignment="1">
      <alignment vertical="top"/>
    </xf>
    <xf numFmtId="0" fontId="10" fillId="0" borderId="4" xfId="0" applyFont="1" applyBorder="1" applyAlignment="1">
      <alignment vertical="top"/>
    </xf>
    <xf numFmtId="0" fontId="10" fillId="0" borderId="4" xfId="0" applyFont="1" applyBorder="1"/>
    <xf numFmtId="0" fontId="15" fillId="0" borderId="0" xfId="0" applyFont="1" applyAlignment="1">
      <alignment horizontal="left"/>
    </xf>
    <xf numFmtId="0" fontId="11" fillId="0" borderId="4" xfId="0" applyFont="1" applyBorder="1" applyAlignment="1">
      <alignment vertical="top"/>
    </xf>
    <xf numFmtId="0" fontId="10" fillId="0" borderId="4" xfId="0" applyFont="1" applyBorder="1" applyAlignment="1">
      <alignment horizontal="left" vertical="top" wrapText="1"/>
    </xf>
    <xf numFmtId="0" fontId="10" fillId="0" borderId="0" xfId="0" applyFont="1" applyAlignment="1">
      <alignment horizontal="centerContinuous"/>
    </xf>
    <xf numFmtId="0" fontId="11" fillId="0" borderId="0" xfId="14" applyFont="1">
      <alignment vertical="center"/>
    </xf>
    <xf numFmtId="0" fontId="10" fillId="0" borderId="0" xfId="15" applyFont="1">
      <alignment vertical="center"/>
    </xf>
    <xf numFmtId="0" fontId="10" fillId="0" borderId="0" xfId="15" applyFont="1" applyAlignment="1">
      <alignment horizontal="centerContinuous" vertical="center"/>
    </xf>
    <xf numFmtId="0" fontId="10" fillId="0" borderId="0" xfId="10" applyFont="1"/>
    <xf numFmtId="0" fontId="10" fillId="0" borderId="0" xfId="10" applyFont="1" applyAlignment="1">
      <alignment horizontal="centerContinuous"/>
    </xf>
    <xf numFmtId="0" fontId="11" fillId="0" borderId="0" xfId="15" applyFont="1" applyAlignment="1">
      <alignment horizontal="right" vertical="center"/>
    </xf>
    <xf numFmtId="0" fontId="11" fillId="0" borderId="0" xfId="15" applyFont="1">
      <alignment vertical="center"/>
    </xf>
    <xf numFmtId="0" fontId="10" fillId="0" borderId="4" xfId="15" applyFont="1" applyBorder="1">
      <alignment vertical="center"/>
    </xf>
    <xf numFmtId="0" fontId="10" fillId="5" borderId="4" xfId="10" applyFont="1" applyFill="1" applyBorder="1" applyAlignment="1">
      <alignment horizontal="left"/>
    </xf>
    <xf numFmtId="0" fontId="10" fillId="0" borderId="4" xfId="10" applyFont="1" applyBorder="1"/>
    <xf numFmtId="0" fontId="10" fillId="0" borderId="4" xfId="15" applyFont="1" applyBorder="1" applyAlignment="1">
      <alignment horizontal="center" vertical="center"/>
    </xf>
    <xf numFmtId="0" fontId="10" fillId="5" borderId="0" xfId="10" applyFont="1" applyFill="1"/>
    <xf numFmtId="0" fontId="11" fillId="0" borderId="0" xfId="10" applyFont="1"/>
    <xf numFmtId="0" fontId="11" fillId="0" borderId="0" xfId="10" applyFont="1" applyAlignment="1">
      <alignment horizontal="left"/>
    </xf>
    <xf numFmtId="0" fontId="11" fillId="0" borderId="0" xfId="10" applyFont="1" applyAlignment="1">
      <alignment horizontal="right"/>
    </xf>
    <xf numFmtId="0" fontId="10" fillId="0" borderId="0" xfId="10" applyFont="1" applyAlignment="1">
      <alignment vertical="top"/>
    </xf>
    <xf numFmtId="0" fontId="15" fillId="0" borderId="0" xfId="10" applyFont="1" applyAlignment="1">
      <alignment horizontal="left"/>
    </xf>
    <xf numFmtId="0" fontId="11" fillId="0" borderId="4" xfId="15" applyFont="1" applyBorder="1" applyAlignment="1">
      <alignment horizontal="center" vertical="center"/>
    </xf>
    <xf numFmtId="0" fontId="10" fillId="0" borderId="0" xfId="10" applyFont="1" applyAlignment="1">
      <alignment vertical="center"/>
    </xf>
    <xf numFmtId="0" fontId="10" fillId="0" borderId="4" xfId="10" applyFont="1" applyBorder="1" applyAlignment="1">
      <alignment horizontal="center" vertical="top"/>
    </xf>
    <xf numFmtId="0" fontId="15" fillId="0" borderId="4" xfId="10" applyFont="1" applyBorder="1" applyAlignment="1">
      <alignment horizontal="left"/>
    </xf>
    <xf numFmtId="0" fontId="11" fillId="0" borderId="4" xfId="10" applyFont="1" applyBorder="1" applyAlignment="1">
      <alignment horizontal="left" vertical="top"/>
    </xf>
    <xf numFmtId="0" fontId="10" fillId="0" borderId="4" xfId="14" applyFont="1" applyBorder="1" applyAlignment="1">
      <alignment horizontal="center" vertical="center"/>
    </xf>
    <xf numFmtId="0" fontId="10" fillId="0" borderId="0" xfId="14" applyFont="1" applyAlignment="1">
      <alignment horizontal="center" vertical="center"/>
    </xf>
    <xf numFmtId="0" fontId="10" fillId="0" borderId="0" xfId="15" applyFont="1" applyAlignment="1">
      <alignment horizontal="center" vertical="center"/>
    </xf>
    <xf numFmtId="0" fontId="10" fillId="0" borderId="4" xfId="15" applyFont="1" applyBorder="1" applyAlignment="1">
      <alignment vertical="center" wrapText="1"/>
    </xf>
    <xf numFmtId="0" fontId="10" fillId="5" borderId="4" xfId="10" applyFont="1" applyFill="1" applyBorder="1" applyAlignment="1">
      <alignment horizontal="left" vertical="center" wrapText="1"/>
    </xf>
    <xf numFmtId="0" fontId="10" fillId="0" borderId="4" xfId="0" applyFont="1" applyBorder="1" applyAlignment="1">
      <alignment horizontal="center" vertical="top"/>
    </xf>
    <xf numFmtId="0" fontId="11" fillId="0" borderId="0" xfId="0" applyFont="1" applyAlignment="1">
      <alignment horizontal="center" vertical="center"/>
    </xf>
    <xf numFmtId="0" fontId="11" fillId="0" borderId="0" xfId="10" applyFont="1" applyAlignment="1">
      <alignment horizontal="center" vertical="center"/>
    </xf>
    <xf numFmtId="0" fontId="10" fillId="0" borderId="4" xfId="10" applyFont="1" applyBorder="1" applyAlignment="1">
      <alignment horizontal="center" vertical="center"/>
    </xf>
    <xf numFmtId="0" fontId="10" fillId="0" borderId="4" xfId="10" applyFont="1" applyBorder="1" applyAlignment="1">
      <alignment horizontal="left" vertical="center"/>
    </xf>
    <xf numFmtId="0" fontId="11" fillId="0" borderId="0" xfId="10" applyFont="1" applyAlignment="1">
      <alignment vertical="center"/>
    </xf>
    <xf numFmtId="0" fontId="11" fillId="0" borderId="4" xfId="10" applyFont="1" applyBorder="1" applyAlignment="1">
      <alignment horizontal="left" vertical="center" wrapText="1"/>
    </xf>
    <xf numFmtId="0" fontId="11" fillId="0" borderId="4" xfId="10" applyFont="1" applyBorder="1" applyAlignment="1">
      <alignment horizontal="center" vertical="center" wrapText="1"/>
    </xf>
    <xf numFmtId="0" fontId="11" fillId="0" borderId="4" xfId="10" applyFont="1" applyBorder="1" applyAlignment="1">
      <alignment horizontal="left" vertical="center"/>
    </xf>
    <xf numFmtId="0" fontId="11" fillId="0" borderId="0" xfId="0" applyFont="1" applyAlignment="1">
      <alignment horizontal="center"/>
    </xf>
    <xf numFmtId="0" fontId="11" fillId="0" borderId="0" xfId="0" applyFont="1" applyAlignment="1">
      <alignment vertical="center"/>
    </xf>
    <xf numFmtId="0" fontId="10" fillId="0" borderId="0" xfId="15" applyFont="1" applyAlignment="1">
      <alignment vertical="center" wrapText="1"/>
    </xf>
    <xf numFmtId="0" fontId="11" fillId="0" borderId="0" xfId="0" applyFont="1" applyAlignment="1">
      <alignment horizontal="center" vertical="top"/>
    </xf>
    <xf numFmtId="0" fontId="10" fillId="0" borderId="4" xfId="17" applyFont="1" applyBorder="1" applyAlignment="1">
      <alignment horizontal="center" vertical="center"/>
    </xf>
    <xf numFmtId="0" fontId="10" fillId="0" borderId="4" xfId="16" applyFont="1" applyBorder="1">
      <alignment vertical="center"/>
    </xf>
    <xf numFmtId="0" fontId="10" fillId="0" borderId="4" xfId="16" applyFont="1" applyBorder="1" applyAlignment="1">
      <alignment vertical="top" wrapText="1"/>
    </xf>
    <xf numFmtId="0" fontId="11" fillId="0" borderId="4" xfId="16" applyFont="1" applyBorder="1">
      <alignment vertical="center"/>
    </xf>
    <xf numFmtId="0" fontId="11" fillId="0" borderId="4" xfId="17" applyFont="1" applyBorder="1">
      <alignment vertical="center"/>
    </xf>
    <xf numFmtId="0" fontId="10" fillId="0" borderId="4" xfId="15" applyFont="1" applyBorder="1" applyAlignment="1">
      <alignment horizontal="center" vertical="top" wrapText="1"/>
    </xf>
    <xf numFmtId="0" fontId="10" fillId="0" borderId="4" xfId="15" applyFont="1" applyBorder="1" applyAlignment="1">
      <alignment vertical="top" wrapText="1"/>
    </xf>
    <xf numFmtId="0" fontId="11" fillId="0" borderId="4" xfId="15" applyFont="1" applyBorder="1" applyAlignment="1">
      <alignment vertical="top" wrapText="1"/>
    </xf>
    <xf numFmtId="0" fontId="10" fillId="0" borderId="4" xfId="10" applyFont="1" applyBorder="1" applyAlignment="1">
      <alignment vertical="center"/>
    </xf>
    <xf numFmtId="0" fontId="10" fillId="0" borderId="4" xfId="10" applyFont="1" applyBorder="1" applyAlignment="1">
      <alignment horizontal="left" vertical="center" wrapText="1"/>
    </xf>
    <xf numFmtId="0" fontId="11" fillId="5" borderId="0" xfId="10" applyFont="1" applyFill="1" applyAlignment="1">
      <alignment vertical="center"/>
    </xf>
    <xf numFmtId="166" fontId="10" fillId="0" borderId="0" xfId="10" applyNumberFormat="1" applyFont="1"/>
    <xf numFmtId="0" fontId="11" fillId="0" borderId="0" xfId="15" applyFont="1" applyAlignment="1">
      <alignment horizontal="center" vertical="center"/>
    </xf>
    <xf numFmtId="0" fontId="11" fillId="0" borderId="0" xfId="53" applyFont="1" applyAlignment="1">
      <alignment horizontal="left"/>
    </xf>
    <xf numFmtId="0" fontId="10" fillId="0" borderId="0" xfId="53" applyFont="1"/>
    <xf numFmtId="0" fontId="11" fillId="0" borderId="0" xfId="53" applyFont="1" applyAlignment="1">
      <alignment horizontal="center" vertical="center"/>
    </xf>
    <xf numFmtId="0" fontId="11" fillId="0" borderId="0" xfId="54" applyFont="1" applyAlignment="1">
      <alignment horizontal="right" vertical="center"/>
    </xf>
    <xf numFmtId="0" fontId="10" fillId="0" borderId="0" xfId="54" applyFont="1">
      <alignment vertical="center"/>
    </xf>
    <xf numFmtId="0" fontId="10" fillId="0" borderId="4" xfId="53" applyFont="1" applyBorder="1" applyAlignment="1">
      <alignment horizontal="center" vertical="center"/>
    </xf>
    <xf numFmtId="0" fontId="10" fillId="0" borderId="4" xfId="53" applyFont="1" applyBorder="1" applyAlignment="1">
      <alignment vertical="center"/>
    </xf>
    <xf numFmtId="0" fontId="10" fillId="0" borderId="0" xfId="53" applyFont="1" applyAlignment="1">
      <alignment vertical="center"/>
    </xf>
    <xf numFmtId="0" fontId="10" fillId="0" borderId="4" xfId="53" applyFont="1" applyBorder="1" applyAlignment="1">
      <alignment horizontal="left" vertical="center"/>
    </xf>
    <xf numFmtId="0" fontId="11" fillId="0" borderId="0" xfId="53" applyFont="1" applyAlignment="1">
      <alignment vertical="center"/>
    </xf>
    <xf numFmtId="0" fontId="10" fillId="0" borderId="0" xfId="53" applyFont="1" applyAlignment="1">
      <alignment horizontal="center" vertical="center"/>
    </xf>
    <xf numFmtId="0" fontId="11" fillId="0" borderId="0" xfId="53" applyFont="1" applyAlignment="1">
      <alignment horizontal="left" vertical="center" wrapText="1"/>
    </xf>
    <xf numFmtId="0" fontId="11" fillId="0" borderId="0" xfId="53" applyFont="1" applyAlignment="1">
      <alignment horizontal="center" vertical="center" wrapText="1"/>
    </xf>
    <xf numFmtId="0" fontId="11" fillId="0" borderId="0" xfId="53" applyFont="1" applyAlignment="1">
      <alignment horizontal="left" vertical="center"/>
    </xf>
    <xf numFmtId="0" fontId="11" fillId="0" borderId="0" xfId="54" applyFont="1">
      <alignment vertical="center"/>
    </xf>
    <xf numFmtId="0" fontId="10" fillId="0" borderId="0" xfId="53" applyFont="1" applyAlignment="1">
      <alignment horizontal="centerContinuous"/>
    </xf>
    <xf numFmtId="0" fontId="11" fillId="5" borderId="0" xfId="53" applyFont="1" applyFill="1" applyAlignment="1">
      <alignment vertical="center" wrapText="1"/>
    </xf>
    <xf numFmtId="0" fontId="11" fillId="5" borderId="0" xfId="53" applyFont="1" applyFill="1" applyAlignment="1">
      <alignment horizontal="center" vertical="center"/>
    </xf>
    <xf numFmtId="0" fontId="11" fillId="5" borderId="0" xfId="53" applyFont="1" applyFill="1" applyAlignment="1">
      <alignment horizontal="center"/>
    </xf>
    <xf numFmtId="0" fontId="11" fillId="0" borderId="0" xfId="53" applyFont="1" applyAlignment="1">
      <alignment horizontal="centerContinuous"/>
    </xf>
    <xf numFmtId="0" fontId="11" fillId="5" borderId="0" xfId="53" applyFont="1" applyFill="1" applyAlignment="1">
      <alignment horizontal="left"/>
    </xf>
    <xf numFmtId="0" fontId="11" fillId="0" borderId="0" xfId="53" applyFont="1" applyAlignment="1">
      <alignment horizontal="center"/>
    </xf>
    <xf numFmtId="0" fontId="11" fillId="0" borderId="4" xfId="53" applyFont="1" applyBorder="1"/>
    <xf numFmtId="0" fontId="10" fillId="0" borderId="4" xfId="53" applyFont="1" applyBorder="1"/>
    <xf numFmtId="0" fontId="11" fillId="0" borderId="4" xfId="53" applyFont="1" applyBorder="1" applyAlignment="1">
      <alignment horizontal="left"/>
    </xf>
    <xf numFmtId="0" fontId="17" fillId="0" borderId="4" xfId="53" applyFont="1" applyBorder="1"/>
    <xf numFmtId="0" fontId="28" fillId="0" borderId="4" xfId="53" applyFont="1" applyBorder="1"/>
    <xf numFmtId="0" fontId="20" fillId="0" borderId="4" xfId="53" applyFont="1" applyBorder="1"/>
    <xf numFmtId="0" fontId="10" fillId="0" borderId="4" xfId="53" applyFont="1" applyBorder="1" applyAlignment="1">
      <alignment horizontal="left"/>
    </xf>
    <xf numFmtId="0" fontId="10" fillId="8" borderId="4" xfId="53" applyFont="1" applyFill="1" applyBorder="1"/>
    <xf numFmtId="0" fontId="17" fillId="8" borderId="4" xfId="53" applyFont="1" applyFill="1" applyBorder="1"/>
    <xf numFmtId="0" fontId="18" fillId="0" borderId="0" xfId="53" applyFont="1"/>
    <xf numFmtId="0" fontId="16" fillId="5" borderId="0" xfId="53" applyFont="1" applyFill="1"/>
    <xf numFmtId="0" fontId="11" fillId="0" borderId="0" xfId="60" applyFont="1" applyAlignment="1">
      <alignment vertical="center" wrapText="1"/>
    </xf>
    <xf numFmtId="0" fontId="11" fillId="0" borderId="0" xfId="60" applyFont="1" applyAlignment="1">
      <alignment horizontal="center" vertical="center"/>
    </xf>
    <xf numFmtId="0" fontId="11" fillId="0" borderId="0" xfId="53" applyFont="1" applyAlignment="1">
      <alignment vertical="center" wrapText="1"/>
    </xf>
    <xf numFmtId="0" fontId="11" fillId="0" borderId="0" xfId="53" applyFont="1" applyAlignment="1">
      <alignment horizontal="center" vertical="top"/>
    </xf>
    <xf numFmtId="0" fontId="10" fillId="0" borderId="0" xfId="53" applyFont="1" applyAlignment="1">
      <alignment horizontal="center"/>
    </xf>
    <xf numFmtId="0" fontId="10" fillId="5" borderId="0" xfId="53" applyFont="1" applyFill="1" applyAlignment="1">
      <alignment horizontal="center"/>
    </xf>
    <xf numFmtId="0" fontId="11" fillId="6" borderId="0" xfId="53" applyFont="1" applyFill="1" applyAlignment="1">
      <alignment horizontal="center"/>
    </xf>
    <xf numFmtId="0" fontId="11" fillId="8" borderId="4" xfId="53" applyFont="1" applyFill="1" applyBorder="1"/>
    <xf numFmtId="0" fontId="11" fillId="5" borderId="0" xfId="53" applyFont="1" applyFill="1" applyAlignment="1">
      <alignment horizontal="center" vertical="center" wrapText="1"/>
    </xf>
    <xf numFmtId="0" fontId="11" fillId="0" borderId="4" xfId="53" applyFont="1" applyBorder="1" applyAlignment="1">
      <alignment horizontal="center" vertical="center"/>
    </xf>
    <xf numFmtId="0" fontId="10" fillId="8" borderId="4" xfId="53" applyFont="1" applyFill="1" applyBorder="1" applyAlignment="1">
      <alignment horizontal="center" vertical="center"/>
    </xf>
    <xf numFmtId="0" fontId="11" fillId="4" borderId="4" xfId="15" applyFont="1" applyFill="1" applyBorder="1" applyAlignment="1">
      <alignment horizontal="center" vertical="center" wrapText="1"/>
    </xf>
    <xf numFmtId="0" fontId="11" fillId="4" borderId="4" xfId="53" applyFont="1" applyFill="1" applyBorder="1" applyAlignment="1">
      <alignment horizontal="center" vertical="center" wrapText="1"/>
    </xf>
    <xf numFmtId="0" fontId="10" fillId="0" borderId="0" xfId="0" applyFont="1" applyAlignment="1">
      <alignment horizontal="center"/>
    </xf>
    <xf numFmtId="0" fontId="11" fillId="0" borderId="0" xfId="0" applyFont="1" applyAlignment="1">
      <alignment vertical="top"/>
    </xf>
    <xf numFmtId="0" fontId="10" fillId="0" borderId="4" xfId="16" applyFont="1" applyBorder="1" applyAlignment="1">
      <alignment horizontal="center" vertical="center"/>
    </xf>
    <xf numFmtId="0" fontId="11" fillId="0" borderId="0" xfId="16" applyFont="1" applyAlignment="1">
      <alignment horizontal="center" vertical="center"/>
    </xf>
    <xf numFmtId="0" fontId="11" fillId="0" borderId="0" xfId="16" applyFont="1">
      <alignment vertical="center"/>
    </xf>
    <xf numFmtId="0" fontId="10" fillId="0" borderId="0" xfId="16" applyFont="1">
      <alignment vertical="center"/>
    </xf>
    <xf numFmtId="0" fontId="29" fillId="0" borderId="0" xfId="0" applyFont="1" applyAlignment="1">
      <alignment horizontal="center" vertical="center"/>
    </xf>
    <xf numFmtId="0" fontId="10" fillId="6" borderId="4" xfId="14" applyFont="1" applyFill="1" applyBorder="1">
      <alignment vertical="center"/>
    </xf>
    <xf numFmtId="0" fontId="10" fillId="6" borderId="4" xfId="14" applyFont="1" applyFill="1" applyBorder="1" applyAlignment="1">
      <alignment horizontal="left" vertical="center"/>
    </xf>
    <xf numFmtId="0" fontId="10" fillId="0" borderId="4" xfId="54" applyFont="1" applyBorder="1">
      <alignment vertical="center"/>
    </xf>
    <xf numFmtId="0" fontId="10" fillId="6" borderId="4" xfId="14" applyFont="1" applyFill="1" applyBorder="1" applyAlignment="1">
      <alignment vertical="top" wrapText="1"/>
    </xf>
    <xf numFmtId="0" fontId="29" fillId="0" borderId="0" xfId="53" applyFont="1" applyAlignment="1">
      <alignment vertical="center"/>
    </xf>
    <xf numFmtId="0" fontId="29" fillId="0" borderId="0" xfId="53" applyFont="1" applyAlignment="1">
      <alignment horizontal="center" vertical="center"/>
    </xf>
    <xf numFmtId="0" fontId="29" fillId="0" borderId="4" xfId="53" applyFont="1" applyBorder="1" applyAlignment="1">
      <alignment horizontal="center" vertical="center" wrapText="1"/>
    </xf>
    <xf numFmtId="0" fontId="11" fillId="0" borderId="0" xfId="60" applyFont="1" applyAlignment="1">
      <alignment horizontal="center" vertical="center" wrapText="1"/>
    </xf>
    <xf numFmtId="0" fontId="11" fillId="0" borderId="0" xfId="53" applyFont="1"/>
    <xf numFmtId="0" fontId="35" fillId="5" borderId="0" xfId="53" applyFont="1" applyFill="1" applyAlignment="1">
      <alignment horizontal="center" vertical="center" wrapText="1"/>
    </xf>
    <xf numFmtId="0" fontId="36" fillId="6" borderId="4" xfId="13" applyFont="1" applyFill="1" applyBorder="1"/>
    <xf numFmtId="0" fontId="10" fillId="0" borderId="4" xfId="0" applyFont="1" applyBorder="1" applyAlignment="1">
      <alignment vertical="top" wrapText="1"/>
    </xf>
    <xf numFmtId="0" fontId="11" fillId="0" borderId="4" xfId="0" applyFont="1" applyBorder="1" applyAlignment="1">
      <alignment horizontal="center"/>
    </xf>
    <xf numFmtId="0" fontId="11" fillId="0" borderId="4" xfId="0" applyFont="1" applyBorder="1" applyAlignment="1">
      <alignment vertical="top" wrapText="1"/>
    </xf>
    <xf numFmtId="0" fontId="11" fillId="0" borderId="4" xfId="0" applyFont="1" applyBorder="1" applyAlignment="1">
      <alignment horizontal="left" vertical="top" wrapText="1"/>
    </xf>
    <xf numFmtId="0" fontId="29" fillId="0" borderId="0" xfId="0" applyFont="1" applyAlignment="1">
      <alignment vertical="center"/>
    </xf>
    <xf numFmtId="0" fontId="11" fillId="0" borderId="0" xfId="14" applyFont="1" applyAlignment="1">
      <alignment vertical="center" wrapText="1"/>
    </xf>
    <xf numFmtId="0" fontId="11" fillId="0" borderId="0" xfId="14" applyFont="1" applyAlignment="1">
      <alignment horizontal="center" vertical="center"/>
    </xf>
    <xf numFmtId="0" fontId="11" fillId="7" borderId="5" xfId="0" applyFont="1" applyFill="1" applyBorder="1" applyAlignment="1">
      <alignment horizontal="center" vertical="center" wrapText="1"/>
    </xf>
    <xf numFmtId="0" fontId="11" fillId="7" borderId="5"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5" xfId="0" applyFont="1" applyBorder="1" applyAlignment="1">
      <alignment vertical="center" wrapText="1"/>
    </xf>
    <xf numFmtId="2" fontId="10" fillId="0" borderId="4"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vertical="center"/>
    </xf>
    <xf numFmtId="0" fontId="11" fillId="7"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vertical="center" wrapText="1"/>
    </xf>
    <xf numFmtId="0" fontId="11" fillId="0" borderId="4" xfId="16" applyFont="1" applyBorder="1" applyAlignment="1">
      <alignment horizontal="center" vertical="center"/>
    </xf>
    <xf numFmtId="0" fontId="11" fillId="4" borderId="4" xfId="54" applyFont="1" applyFill="1" applyBorder="1" applyAlignment="1">
      <alignment horizontal="center" vertical="center" wrapText="1"/>
    </xf>
    <xf numFmtId="0" fontId="11" fillId="4" borderId="9" xfId="54" applyFont="1" applyFill="1" applyBorder="1" applyAlignment="1">
      <alignment horizontal="center" vertical="center" wrapText="1"/>
    </xf>
    <xf numFmtId="0" fontId="11" fillId="0" borderId="0" xfId="62" applyFont="1" applyAlignment="1">
      <alignment horizontal="left"/>
    </xf>
    <xf numFmtId="0" fontId="10" fillId="0" borderId="0" xfId="62" applyFont="1"/>
    <xf numFmtId="0" fontId="11" fillId="7" borderId="4" xfId="54" applyFont="1" applyFill="1" applyBorder="1" applyAlignment="1">
      <alignment horizontal="center" vertical="center" wrapText="1"/>
    </xf>
    <xf numFmtId="0" fontId="10" fillId="0" borderId="4" xfId="62" applyFont="1" applyBorder="1" applyAlignment="1">
      <alignment horizontal="center" vertical="center"/>
    </xf>
    <xf numFmtId="0" fontId="10" fillId="0" borderId="4" xfId="62" applyFont="1" applyBorder="1"/>
    <xf numFmtId="0" fontId="10" fillId="0" borderId="4" xfId="62" applyFont="1" applyBorder="1" applyAlignment="1">
      <alignment horizontal="center"/>
    </xf>
    <xf numFmtId="0" fontId="11" fillId="7" borderId="4" xfId="62" applyFont="1" applyFill="1" applyBorder="1" applyAlignment="1">
      <alignment horizontal="center" vertical="center"/>
    </xf>
    <xf numFmtId="0" fontId="11" fillId="7" borderId="0" xfId="62" applyFont="1" applyFill="1" applyAlignment="1">
      <alignment horizontal="center" vertical="center"/>
    </xf>
    <xf numFmtId="0" fontId="11" fillId="0" borderId="4" xfId="62" applyFont="1" applyBorder="1"/>
    <xf numFmtId="0" fontId="11" fillId="0" borderId="4" xfId="62" applyFont="1" applyBorder="1" applyAlignment="1">
      <alignment horizontal="left"/>
    </xf>
    <xf numFmtId="0" fontId="28" fillId="0" borderId="4" xfId="62" applyFont="1" applyBorder="1"/>
    <xf numFmtId="0" fontId="10" fillId="0" borderId="4" xfId="62" applyFont="1" applyBorder="1" applyAlignment="1">
      <alignment horizontal="left"/>
    </xf>
    <xf numFmtId="0" fontId="38" fillId="8" borderId="4" xfId="62" applyFont="1" applyFill="1" applyBorder="1"/>
    <xf numFmtId="0" fontId="11" fillId="4" borderId="4" xfId="62" applyFont="1" applyFill="1" applyBorder="1" applyAlignment="1">
      <alignment horizontal="center" vertical="center" wrapText="1"/>
    </xf>
    <xf numFmtId="0" fontId="11" fillId="4" borderId="4" xfId="62" quotePrefix="1" applyFont="1" applyFill="1" applyBorder="1" applyAlignment="1">
      <alignment horizontal="center" vertical="center" wrapText="1"/>
    </xf>
    <xf numFmtId="0" fontId="11" fillId="0" borderId="6" xfId="15" applyFont="1" applyBorder="1" applyAlignment="1">
      <alignment horizontal="center" vertical="center" wrapText="1"/>
    </xf>
    <xf numFmtId="0" fontId="11" fillId="0" borderId="4" xfId="54" applyFont="1" applyBorder="1" applyAlignment="1">
      <alignment horizontal="center" vertical="center" wrapText="1"/>
    </xf>
    <xf numFmtId="0" fontId="10" fillId="0" borderId="4" xfId="54" applyFont="1" applyBorder="1" applyAlignment="1">
      <alignment horizontal="center" vertical="center"/>
    </xf>
    <xf numFmtId="0" fontId="10" fillId="0" borderId="4" xfId="54" applyFont="1" applyBorder="1" applyAlignment="1">
      <alignment horizontal="center" vertical="top" wrapText="1"/>
    </xf>
    <xf numFmtId="0" fontId="10" fillId="0" borderId="4" xfId="54" applyFont="1" applyBorder="1" applyAlignment="1">
      <alignment vertical="top" wrapText="1"/>
    </xf>
    <xf numFmtId="0" fontId="10" fillId="0" borderId="4" xfId="54" applyFont="1" applyBorder="1" applyAlignment="1">
      <alignment horizontal="center" vertical="center" wrapText="1"/>
    </xf>
    <xf numFmtId="0" fontId="10" fillId="5" borderId="4" xfId="62" applyFont="1" applyFill="1" applyBorder="1" applyAlignment="1">
      <alignment horizontal="left" wrapText="1"/>
    </xf>
    <xf numFmtId="0" fontId="11" fillId="0" borderId="4" xfId="54" applyFont="1" applyBorder="1" applyAlignment="1">
      <alignment vertical="top" wrapText="1"/>
    </xf>
    <xf numFmtId="0" fontId="11" fillId="0" borderId="0" xfId="62" applyFont="1"/>
    <xf numFmtId="0" fontId="11" fillId="0" borderId="0" xfId="62" applyFont="1" applyAlignment="1">
      <alignment horizontal="centerContinuous"/>
    </xf>
    <xf numFmtId="0" fontId="11" fillId="0" borderId="0" xfId="62" applyFont="1" applyAlignment="1">
      <alignment horizontal="right"/>
    </xf>
    <xf numFmtId="0" fontId="10" fillId="0" borderId="4" xfId="62" applyFont="1" applyBorder="1" applyAlignment="1">
      <alignment horizontal="left" vertical="top" wrapText="1"/>
    </xf>
    <xf numFmtId="0" fontId="11" fillId="0" borderId="4" xfId="62" applyFont="1" applyBorder="1" applyAlignment="1">
      <alignment horizontal="left" vertical="top"/>
    </xf>
    <xf numFmtId="0" fontId="15" fillId="0" borderId="0" xfId="62" applyFont="1" applyAlignment="1">
      <alignment horizontal="left"/>
    </xf>
    <xf numFmtId="0" fontId="37" fillId="0" borderId="0" xfId="66" applyFont="1"/>
    <xf numFmtId="0" fontId="40" fillId="10" borderId="0" xfId="66" applyFont="1" applyFill="1" applyAlignment="1">
      <alignment horizontal="left"/>
    </xf>
    <xf numFmtId="0" fontId="40" fillId="11" borderId="4" xfId="66" applyFont="1" applyFill="1" applyBorder="1" applyAlignment="1">
      <alignment vertical="center"/>
    </xf>
    <xf numFmtId="0" fontId="40" fillId="11" borderId="4" xfId="66" applyFont="1" applyFill="1" applyBorder="1" applyAlignment="1">
      <alignment horizontal="left" vertical="center"/>
    </xf>
    <xf numFmtId="0" fontId="40" fillId="11" borderId="4" xfId="66" applyFont="1" applyFill="1" applyBorder="1" applyAlignment="1">
      <alignment vertical="center" wrapText="1"/>
    </xf>
    <xf numFmtId="0" fontId="40" fillId="11" borderId="4" xfId="66" applyFont="1" applyFill="1" applyBorder="1" applyAlignment="1">
      <alignment horizontal="center" vertical="center"/>
    </xf>
    <xf numFmtId="0" fontId="37" fillId="0" borderId="4" xfId="66" applyFont="1" applyBorder="1"/>
    <xf numFmtId="0" fontId="37" fillId="0" borderId="4" xfId="66" applyFont="1" applyBorder="1" applyAlignment="1">
      <alignment horizontal="left"/>
    </xf>
    <xf numFmtId="168" fontId="37" fillId="0" borderId="4" xfId="68" applyNumberFormat="1" applyFont="1" applyBorder="1"/>
    <xf numFmtId="168" fontId="37" fillId="12" borderId="4" xfId="68" applyNumberFormat="1" applyFont="1" applyFill="1" applyBorder="1"/>
    <xf numFmtId="0" fontId="40" fillId="13" borderId="4" xfId="66" applyFont="1" applyFill="1" applyBorder="1"/>
    <xf numFmtId="0" fontId="40" fillId="13" borderId="4" xfId="66" applyFont="1" applyFill="1" applyBorder="1" applyAlignment="1">
      <alignment horizontal="left"/>
    </xf>
    <xf numFmtId="168" fontId="40" fillId="13" borderId="4" xfId="68" applyNumberFormat="1" applyFont="1" applyFill="1" applyBorder="1"/>
    <xf numFmtId="168" fontId="37" fillId="0" borderId="0" xfId="66" applyNumberFormat="1" applyFont="1"/>
    <xf numFmtId="0" fontId="37" fillId="0" borderId="0" xfId="66" applyFont="1" applyAlignment="1">
      <alignment vertical="center" wrapText="1"/>
    </xf>
    <xf numFmtId="0" fontId="40" fillId="0" borderId="0" xfId="66" applyFont="1" applyAlignment="1">
      <alignment vertical="center"/>
    </xf>
    <xf numFmtId="10" fontId="37" fillId="0" borderId="4" xfId="66" applyNumberFormat="1" applyFont="1" applyBorder="1"/>
    <xf numFmtId="165" fontId="40" fillId="13" borderId="4" xfId="68" applyFont="1" applyFill="1" applyBorder="1"/>
    <xf numFmtId="0" fontId="37" fillId="0" borderId="0" xfId="66" applyFont="1" applyAlignment="1">
      <alignment horizontal="left"/>
    </xf>
    <xf numFmtId="43" fontId="37" fillId="0" borderId="0" xfId="67" applyFont="1"/>
    <xf numFmtId="0" fontId="37" fillId="0" borderId="0" xfId="66" applyFont="1" applyAlignment="1">
      <alignment vertical="center"/>
    </xf>
    <xf numFmtId="43" fontId="37" fillId="0" borderId="4" xfId="67" applyFont="1" applyBorder="1"/>
    <xf numFmtId="0" fontId="11" fillId="7" borderId="4" xfId="62" applyFont="1" applyFill="1" applyBorder="1" applyAlignment="1">
      <alignment horizontal="center" vertical="center" wrapText="1"/>
    </xf>
    <xf numFmtId="0" fontId="10" fillId="6" borderId="0" xfId="53" applyFont="1" applyFill="1"/>
    <xf numFmtId="0" fontId="13" fillId="0" borderId="0" xfId="62" applyFont="1" applyAlignment="1">
      <alignment horizontal="left"/>
    </xf>
    <xf numFmtId="0" fontId="10" fillId="0" borderId="4" xfId="62" applyFont="1" applyBorder="1" applyAlignment="1">
      <alignment horizontal="center" vertical="top"/>
    </xf>
    <xf numFmtId="0" fontId="10" fillId="0" borderId="4" xfId="62" applyFont="1" applyBorder="1" applyAlignment="1">
      <alignment horizontal="left" vertical="top"/>
    </xf>
    <xf numFmtId="0" fontId="10" fillId="0" borderId="4" xfId="62" applyFont="1" applyBorder="1" applyAlignment="1">
      <alignment vertical="top"/>
    </xf>
    <xf numFmtId="0" fontId="15" fillId="0" borderId="4" xfId="62" applyFont="1" applyBorder="1" applyAlignment="1">
      <alignment horizontal="left"/>
    </xf>
    <xf numFmtId="0" fontId="10" fillId="6" borderId="0" xfId="54" applyFont="1" applyFill="1">
      <alignment vertical="center"/>
    </xf>
    <xf numFmtId="0" fontId="11" fillId="0" borderId="0" xfId="62" applyFont="1" applyAlignment="1">
      <alignment horizontal="left" vertical="top"/>
    </xf>
    <xf numFmtId="0" fontId="14" fillId="0" borderId="0" xfId="62" applyFont="1"/>
    <xf numFmtId="0" fontId="11" fillId="6" borderId="0" xfId="62" applyFont="1" applyFill="1" applyAlignment="1">
      <alignment horizontal="left" vertical="top"/>
    </xf>
    <xf numFmtId="0" fontId="15" fillId="6" borderId="0" xfId="62" applyFont="1" applyFill="1" applyAlignment="1">
      <alignment horizontal="left"/>
    </xf>
    <xf numFmtId="0" fontId="40" fillId="0" borderId="0" xfId="66" applyFont="1"/>
    <xf numFmtId="0" fontId="40" fillId="11" borderId="4" xfId="66" applyFont="1" applyFill="1" applyBorder="1" applyAlignment="1">
      <alignment horizontal="center" vertical="center" wrapText="1"/>
    </xf>
    <xf numFmtId="168" fontId="37" fillId="6" borderId="4" xfId="68" applyNumberFormat="1" applyFont="1" applyFill="1" applyBorder="1"/>
    <xf numFmtId="168" fontId="37" fillId="14" borderId="4" xfId="68" applyNumberFormat="1" applyFont="1" applyFill="1" applyBorder="1"/>
    <xf numFmtId="43" fontId="37" fillId="0" borderId="4" xfId="69" applyFont="1" applyBorder="1" applyAlignment="1">
      <alignment vertical="center"/>
    </xf>
    <xf numFmtId="168" fontId="37" fillId="0" borderId="4" xfId="66" applyNumberFormat="1" applyFont="1" applyBorder="1"/>
    <xf numFmtId="0" fontId="42" fillId="0" borderId="4" xfId="54" applyFont="1" applyBorder="1" applyAlignment="1">
      <alignment vertical="top" wrapText="1"/>
    </xf>
    <xf numFmtId="0" fontId="42" fillId="0" borderId="4" xfId="54" applyFont="1" applyBorder="1">
      <alignment vertical="center"/>
    </xf>
    <xf numFmtId="0" fontId="11" fillId="14" borderId="4" xfId="53" applyFont="1" applyFill="1" applyBorder="1"/>
    <xf numFmtId="0" fontId="10" fillId="14" borderId="4" xfId="53" applyFont="1" applyFill="1" applyBorder="1"/>
    <xf numFmtId="0" fontId="11" fillId="0" borderId="0" xfId="62" applyFont="1" applyAlignment="1">
      <alignment horizontal="center" vertical="center"/>
    </xf>
    <xf numFmtId="0" fontId="11" fillId="0" borderId="0" xfId="54" applyFont="1" applyAlignment="1">
      <alignment horizontal="center" vertical="center"/>
    </xf>
    <xf numFmtId="0" fontId="11" fillId="0" borderId="0" xfId="62" applyFont="1" applyAlignment="1">
      <alignment horizontal="center"/>
    </xf>
    <xf numFmtId="0" fontId="10" fillId="0" borderId="0" xfId="54" applyFont="1" applyAlignment="1">
      <alignment horizontal="center" vertical="center"/>
    </xf>
    <xf numFmtId="0" fontId="35" fillId="0" borderId="0" xfId="54" applyFont="1">
      <alignment vertical="center"/>
    </xf>
    <xf numFmtId="0" fontId="10" fillId="0" borderId="0" xfId="60" applyFont="1">
      <alignment vertical="center"/>
    </xf>
    <xf numFmtId="0" fontId="10" fillId="0" borderId="0" xfId="54" applyFont="1" applyAlignment="1">
      <alignment vertical="center" wrapText="1"/>
    </xf>
    <xf numFmtId="0" fontId="31" fillId="0" borderId="4" xfId="71" applyFont="1" applyBorder="1" applyAlignment="1">
      <alignment vertical="center"/>
    </xf>
    <xf numFmtId="0" fontId="31" fillId="0" borderId="4" xfId="71" applyFont="1" applyBorder="1" applyAlignment="1">
      <alignment horizontal="center" vertical="center"/>
    </xf>
    <xf numFmtId="43" fontId="12" fillId="0" borderId="4" xfId="72" applyFont="1" applyFill="1" applyBorder="1" applyAlignment="1">
      <alignment vertical="center"/>
    </xf>
    <xf numFmtId="0" fontId="32" fillId="0" borderId="4" xfId="71" applyFont="1" applyBorder="1" applyAlignment="1">
      <alignment vertical="center"/>
    </xf>
    <xf numFmtId="0" fontId="32" fillId="0" borderId="4" xfId="71" applyFont="1" applyBorder="1" applyAlignment="1">
      <alignment horizontal="center" vertical="center"/>
    </xf>
    <xf numFmtId="0" fontId="11" fillId="4" borderId="5" xfId="54" applyFont="1" applyFill="1" applyBorder="1" applyAlignment="1">
      <alignment horizontal="center" vertical="center" wrapText="1"/>
    </xf>
    <xf numFmtId="0" fontId="44" fillId="16" borderId="17" xfId="0" applyFont="1" applyFill="1" applyBorder="1" applyAlignment="1">
      <alignment horizontal="center" vertical="center"/>
    </xf>
    <xf numFmtId="0" fontId="44" fillId="17" borderId="17" xfId="0" applyFont="1" applyFill="1" applyBorder="1" applyAlignment="1">
      <alignment horizontal="center" vertical="center"/>
    </xf>
    <xf numFmtId="0" fontId="44" fillId="16" borderId="17" xfId="0" applyFont="1" applyFill="1" applyBorder="1" applyAlignment="1">
      <alignment horizontal="center"/>
    </xf>
    <xf numFmtId="0" fontId="44" fillId="17" borderId="17" xfId="0" applyFont="1" applyFill="1" applyBorder="1" applyAlignment="1">
      <alignment horizontal="center"/>
    </xf>
    <xf numFmtId="0" fontId="44" fillId="15" borderId="4" xfId="0" applyFont="1" applyFill="1" applyBorder="1" applyAlignment="1">
      <alignment horizontal="center" vertical="center" wrapText="1"/>
    </xf>
    <xf numFmtId="0" fontId="10" fillId="0" borderId="16" xfId="0" applyFont="1" applyBorder="1" applyAlignment="1">
      <alignment vertical="top" wrapText="1"/>
    </xf>
    <xf numFmtId="0" fontId="10" fillId="0" borderId="17" xfId="0" applyFont="1" applyBorder="1" applyAlignment="1">
      <alignment vertical="top" wrapText="1"/>
    </xf>
    <xf numFmtId="0" fontId="44" fillId="16" borderId="17" xfId="0" applyFont="1" applyFill="1" applyBorder="1" applyAlignment="1">
      <alignment horizontal="center" vertical="top"/>
    </xf>
    <xf numFmtId="0" fontId="44" fillId="17" borderId="17" xfId="0" applyFont="1" applyFill="1" applyBorder="1" applyAlignment="1">
      <alignment horizontal="center" vertical="top"/>
    </xf>
    <xf numFmtId="0" fontId="45" fillId="0" borderId="0" xfId="0" applyFont="1"/>
    <xf numFmtId="0" fontId="31" fillId="0" borderId="4" xfId="22" applyFont="1" applyBorder="1" applyAlignment="1">
      <alignment vertical="center" wrapText="1"/>
    </xf>
    <xf numFmtId="0" fontId="12" fillId="0" borderId="0" xfId="0" applyFont="1"/>
    <xf numFmtId="0" fontId="12" fillId="0" borderId="0" xfId="0" applyFont="1" applyAlignment="1">
      <alignment vertical="top"/>
    </xf>
    <xf numFmtId="0" fontId="12" fillId="0" borderId="17" xfId="0" applyFont="1" applyBorder="1" applyAlignment="1">
      <alignment vertical="top" wrapText="1"/>
    </xf>
    <xf numFmtId="0" fontId="12" fillId="0" borderId="0" xfId="0" applyFont="1" applyAlignment="1">
      <alignment vertical="center"/>
    </xf>
    <xf numFmtId="0" fontId="38" fillId="0" borderId="0" xfId="0" applyFont="1"/>
    <xf numFmtId="0" fontId="12" fillId="0" borderId="4" xfId="0" applyFont="1" applyBorder="1" applyAlignment="1">
      <alignment horizontal="center" vertical="center"/>
    </xf>
    <xf numFmtId="0" fontId="10" fillId="0" borderId="4" xfId="0" applyFont="1" applyBorder="1" applyAlignment="1">
      <alignment wrapText="1"/>
    </xf>
    <xf numFmtId="0" fontId="12" fillId="0" borderId="4" xfId="0" applyFont="1" applyBorder="1"/>
    <xf numFmtId="0" fontId="12" fillId="0" borderId="4" xfId="0" applyFont="1" applyBorder="1" applyAlignment="1">
      <alignment wrapText="1"/>
    </xf>
    <xf numFmtId="0" fontId="12" fillId="0" borderId="4" xfId="0" applyFont="1" applyBorder="1" applyAlignment="1">
      <alignment vertical="top" wrapText="1"/>
    </xf>
    <xf numFmtId="0" fontId="12" fillId="0" borderId="4" xfId="0" applyFont="1" applyBorder="1" applyAlignment="1">
      <alignment horizontal="center" vertical="center" wrapText="1"/>
    </xf>
    <xf numFmtId="0" fontId="11" fillId="7" borderId="4" xfId="0" applyFont="1" applyFill="1" applyBorder="1" applyAlignment="1">
      <alignment horizontal="center" vertical="center"/>
    </xf>
    <xf numFmtId="0" fontId="11" fillId="4" borderId="10" xfId="54" applyFont="1" applyFill="1" applyBorder="1" applyAlignment="1">
      <alignment horizontal="center" vertical="center" wrapText="1"/>
    </xf>
    <xf numFmtId="0" fontId="10" fillId="0" borderId="23" xfId="0" applyFont="1" applyBorder="1" applyAlignment="1">
      <alignment horizontal="center" vertical="center"/>
    </xf>
    <xf numFmtId="0" fontId="10" fillId="0" borderId="23" xfId="0" applyFont="1" applyBorder="1" applyAlignment="1">
      <alignment wrapText="1"/>
    </xf>
    <xf numFmtId="0" fontId="10" fillId="0" borderId="0" xfId="0" applyFont="1" applyAlignment="1">
      <alignment horizontal="center" vertical="center" wrapText="1"/>
    </xf>
    <xf numFmtId="2" fontId="10" fillId="0" borderId="0" xfId="0" applyNumberFormat="1" applyFont="1" applyAlignment="1">
      <alignment horizontal="center" vertical="center"/>
    </xf>
    <xf numFmtId="0" fontId="46" fillId="0" borderId="0" xfId="0" applyFont="1"/>
    <xf numFmtId="0" fontId="42" fillId="0" borderId="4" xfId="54" applyFont="1" applyBorder="1" applyAlignment="1">
      <alignment vertical="center" wrapText="1"/>
    </xf>
    <xf numFmtId="0" fontId="42" fillId="6" borderId="4" xfId="14" applyFont="1" applyFill="1" applyBorder="1">
      <alignment vertical="center"/>
    </xf>
    <xf numFmtId="10" fontId="10" fillId="0" borderId="0" xfId="74" applyNumberFormat="1" applyFont="1"/>
    <xf numFmtId="4" fontId="11" fillId="0" borderId="4" xfId="10" applyNumberFormat="1" applyFont="1" applyBorder="1" applyAlignment="1">
      <alignment horizontal="center" vertical="center"/>
    </xf>
    <xf numFmtId="0" fontId="38" fillId="0" borderId="0" xfId="0" applyFont="1" applyAlignment="1">
      <alignment horizontal="center"/>
    </xf>
    <xf numFmtId="0" fontId="38" fillId="0" borderId="0" xfId="0" applyFont="1" applyAlignment="1">
      <alignment horizontal="center" vertical="top"/>
    </xf>
    <xf numFmtId="0" fontId="38" fillId="0" borderId="0" xfId="15" applyFont="1" applyAlignment="1">
      <alignment horizontal="right" vertical="center"/>
    </xf>
    <xf numFmtId="0" fontId="12" fillId="0" borderId="4" xfId="54" applyFont="1" applyBorder="1" applyAlignment="1">
      <alignment horizontal="center" vertical="center"/>
    </xf>
    <xf numFmtId="0" fontId="12" fillId="0" borderId="4" xfId="63" applyFont="1" applyBorder="1"/>
    <xf numFmtId="0" fontId="12" fillId="0" borderId="4" xfId="54" applyFont="1" applyBorder="1">
      <alignment vertical="center"/>
    </xf>
    <xf numFmtId="0" fontId="49" fillId="0" borderId="4" xfId="63" applyFont="1" applyBorder="1"/>
    <xf numFmtId="0" fontId="38" fillId="0" borderId="4" xfId="63" applyFont="1" applyBorder="1"/>
    <xf numFmtId="0" fontId="38" fillId="0" borderId="4" xfId="54" applyFont="1" applyBorder="1">
      <alignment vertical="center"/>
    </xf>
    <xf numFmtId="4" fontId="38" fillId="4" borderId="9" xfId="54" applyNumberFormat="1" applyFont="1" applyFill="1" applyBorder="1" applyAlignment="1">
      <alignment horizontal="center" vertical="center"/>
    </xf>
    <xf numFmtId="0" fontId="12" fillId="5" borderId="4" xfId="63" quotePrefix="1" applyFont="1" applyFill="1" applyBorder="1" applyAlignment="1">
      <alignment horizontal="left" vertical="center"/>
    </xf>
    <xf numFmtId="0" fontId="12" fillId="5" borderId="4" xfId="63" applyFont="1" applyFill="1" applyBorder="1" applyAlignment="1">
      <alignment horizontal="left" vertical="center"/>
    </xf>
    <xf numFmtId="0" fontId="38" fillId="5" borderId="4" xfId="63" applyFont="1" applyFill="1" applyBorder="1" applyAlignment="1">
      <alignment horizontal="left" vertical="center"/>
    </xf>
    <xf numFmtId="0" fontId="12" fillId="0" borderId="4" xfId="63" applyFont="1" applyBorder="1" applyAlignment="1">
      <alignment vertical="center"/>
    </xf>
    <xf numFmtId="3" fontId="10" fillId="0" borderId="0" xfId="0" applyNumberFormat="1" applyFont="1" applyAlignment="1">
      <alignment horizontal="center"/>
    </xf>
    <xf numFmtId="2" fontId="10" fillId="0" borderId="4" xfId="14" applyNumberFormat="1" applyFont="1" applyBorder="1">
      <alignment vertical="center"/>
    </xf>
    <xf numFmtId="170" fontId="10" fillId="0" borderId="4" xfId="14" applyNumberFormat="1" applyFont="1" applyBorder="1">
      <alignment vertical="center"/>
    </xf>
    <xf numFmtId="170" fontId="11" fillId="0" borderId="4" xfId="14" applyNumberFormat="1" applyFont="1" applyBorder="1">
      <alignment vertical="center"/>
    </xf>
    <xf numFmtId="4" fontId="10" fillId="0" borderId="4" xfId="10" applyNumberFormat="1" applyFont="1" applyBorder="1" applyAlignment="1">
      <alignment horizontal="center" vertical="center" wrapText="1"/>
    </xf>
    <xf numFmtId="0" fontId="10" fillId="0" borderId="4" xfId="10" applyFont="1" applyBorder="1" applyAlignment="1">
      <alignment horizontal="center" vertical="center" wrapText="1"/>
    </xf>
    <xf numFmtId="4" fontId="10" fillId="0" borderId="4" xfId="15" applyNumberFormat="1" applyFont="1" applyBorder="1" applyAlignment="1">
      <alignment horizontal="center" vertical="center"/>
    </xf>
    <xf numFmtId="4" fontId="10" fillId="0" borderId="4" xfId="14" applyNumberFormat="1" applyFont="1" applyBorder="1">
      <alignment vertical="center"/>
    </xf>
    <xf numFmtId="4" fontId="11" fillId="0" borderId="4" xfId="14" applyNumberFormat="1" applyFont="1" applyBorder="1">
      <alignment vertical="center"/>
    </xf>
    <xf numFmtId="4" fontId="11" fillId="0" borderId="4" xfId="16" applyNumberFormat="1" applyFont="1" applyBorder="1">
      <alignment vertical="center"/>
    </xf>
    <xf numFmtId="4" fontId="10" fillId="0" borderId="4" xfId="0" applyNumberFormat="1" applyFont="1" applyBorder="1" applyAlignment="1">
      <alignment horizontal="center" vertical="center"/>
    </xf>
    <xf numFmtId="0" fontId="11" fillId="0" borderId="4" xfId="0" applyFont="1" applyBorder="1" applyAlignment="1">
      <alignment vertical="center" wrapText="1"/>
    </xf>
    <xf numFmtId="4" fontId="11" fillId="0" borderId="4" xfId="0" applyNumberFormat="1" applyFont="1" applyBorder="1" applyAlignment="1">
      <alignment horizontal="center" vertical="center"/>
    </xf>
    <xf numFmtId="4" fontId="10" fillId="14" borderId="4" xfId="0" applyNumberFormat="1" applyFont="1" applyFill="1" applyBorder="1" applyAlignment="1">
      <alignment horizontal="center" vertical="center"/>
    </xf>
    <xf numFmtId="2" fontId="37" fillId="0" borderId="4" xfId="67" applyNumberFormat="1" applyFont="1" applyBorder="1"/>
    <xf numFmtId="2" fontId="37" fillId="0" borderId="4" xfId="68" applyNumberFormat="1" applyFont="1" applyBorder="1"/>
    <xf numFmtId="9" fontId="37" fillId="0" borderId="4" xfId="74" applyFont="1" applyBorder="1"/>
    <xf numFmtId="2" fontId="10" fillId="0" borderId="4" xfId="62" applyNumberFormat="1" applyFont="1" applyBorder="1" applyAlignment="1">
      <alignment horizontal="left" vertical="top"/>
    </xf>
    <xf numFmtId="0" fontId="10" fillId="0" borderId="0" xfId="10" applyFont="1" applyAlignment="1">
      <alignment horizontal="right"/>
    </xf>
    <xf numFmtId="0" fontId="10" fillId="0" borderId="0" xfId="0" applyFont="1" applyAlignment="1">
      <alignment horizontal="right"/>
    </xf>
    <xf numFmtId="2" fontId="10" fillId="0" borderId="4" xfId="62" applyNumberFormat="1" applyFont="1" applyBorder="1"/>
    <xf numFmtId="2" fontId="10" fillId="0" borderId="4" xfId="62" applyNumberFormat="1" applyFont="1" applyBorder="1" applyAlignment="1">
      <alignment horizontal="center" vertical="center"/>
    </xf>
    <xf numFmtId="2" fontId="11" fillId="0" borderId="4" xfId="62" applyNumberFormat="1" applyFont="1" applyBorder="1" applyAlignment="1">
      <alignment horizontal="center" vertical="center"/>
    </xf>
    <xf numFmtId="2" fontId="10" fillId="0" borderId="0" xfId="14" applyNumberFormat="1" applyFont="1">
      <alignment vertical="center"/>
    </xf>
    <xf numFmtId="0" fontId="64" fillId="0" borderId="4" xfId="80" applyFont="1" applyBorder="1" applyAlignment="1">
      <alignment horizontal="center" vertical="center"/>
    </xf>
    <xf numFmtId="10" fontId="10" fillId="0" borderId="4" xfId="15" applyNumberFormat="1" applyFont="1" applyBorder="1">
      <alignment vertical="center"/>
    </xf>
    <xf numFmtId="0" fontId="10" fillId="0" borderId="10" xfId="0" applyFont="1" applyBorder="1" applyAlignment="1">
      <alignment vertical="center" wrapText="1"/>
    </xf>
    <xf numFmtId="2" fontId="10" fillId="18" borderId="4" xfId="0" applyNumberFormat="1" applyFont="1" applyFill="1" applyBorder="1" applyAlignment="1">
      <alignment horizontal="center" vertical="center"/>
    </xf>
    <xf numFmtId="4" fontId="10" fillId="0" borderId="0" xfId="0" applyNumberFormat="1" applyFont="1" applyAlignment="1">
      <alignment vertical="top"/>
    </xf>
    <xf numFmtId="9" fontId="31" fillId="0" borderId="4" xfId="71" applyNumberFormat="1" applyFont="1" applyBorder="1" applyAlignment="1">
      <alignment vertical="center"/>
    </xf>
    <xf numFmtId="164" fontId="10" fillId="0" borderId="4" xfId="73" applyFont="1" applyBorder="1" applyAlignment="1">
      <alignment vertical="center"/>
    </xf>
    <xf numFmtId="164" fontId="10" fillId="0" borderId="4" xfId="73" applyFont="1" applyBorder="1" applyAlignment="1">
      <alignment horizontal="right"/>
    </xf>
    <xf numFmtId="9" fontId="10" fillId="0" borderId="4" xfId="54" applyNumberFormat="1" applyFont="1" applyBorder="1">
      <alignment vertical="center"/>
    </xf>
    <xf numFmtId="0" fontId="10" fillId="0" borderId="0" xfId="0" applyFont="1" applyAlignment="1">
      <alignment horizontal="center" vertical="center"/>
    </xf>
    <xf numFmtId="2" fontId="10" fillId="0" borderId="0" xfId="0" applyNumberFormat="1" applyFont="1" applyAlignment="1">
      <alignment vertical="top"/>
    </xf>
    <xf numFmtId="2" fontId="11" fillId="0" borderId="0" xfId="0" applyNumberFormat="1" applyFont="1" applyAlignment="1">
      <alignment vertical="top"/>
    </xf>
    <xf numFmtId="2" fontId="11" fillId="0" borderId="4" xfId="0" applyNumberFormat="1" applyFont="1" applyBorder="1" applyAlignment="1">
      <alignment horizontal="center" vertical="center"/>
    </xf>
    <xf numFmtId="0" fontId="10" fillId="0" borderId="0" xfId="54" applyFont="1" applyAlignment="1">
      <alignment vertical="top"/>
    </xf>
    <xf numFmtId="0" fontId="10" fillId="0" borderId="0" xfId="54" applyFont="1" applyAlignment="1">
      <alignment vertical="top" wrapText="1"/>
    </xf>
    <xf numFmtId="0" fontId="11" fillId="4" borderId="4" xfId="54" applyFont="1" applyFill="1" applyBorder="1" applyAlignment="1">
      <alignment horizontal="center" vertical="top" wrapText="1"/>
    </xf>
    <xf numFmtId="0" fontId="11" fillId="4" borderId="4" xfId="54" applyFont="1" applyFill="1" applyBorder="1" applyAlignment="1">
      <alignment vertical="top" wrapText="1"/>
    </xf>
    <xf numFmtId="169" fontId="42" fillId="6" borderId="4" xfId="73" applyNumberFormat="1" applyFont="1" applyFill="1" applyBorder="1" applyAlignment="1">
      <alignment horizontal="center" vertical="top" wrapText="1"/>
    </xf>
    <xf numFmtId="169" fontId="10" fillId="0" borderId="0" xfId="54" applyNumberFormat="1" applyFont="1" applyAlignment="1">
      <alignment vertical="top"/>
    </xf>
    <xf numFmtId="9" fontId="10" fillId="0" borderId="4" xfId="53" applyNumberFormat="1" applyFont="1" applyBorder="1"/>
    <xf numFmtId="164" fontId="10" fillId="8" borderId="4" xfId="73" applyFont="1" applyFill="1" applyBorder="1"/>
    <xf numFmtId="0" fontId="10" fillId="0" borderId="4" xfId="53" applyFont="1" applyBorder="1" applyAlignment="1">
      <alignment wrapText="1"/>
    </xf>
    <xf numFmtId="172" fontId="42" fillId="6" borderId="4" xfId="65" applyNumberFormat="1" applyFont="1" applyFill="1" applyBorder="1" applyAlignment="1">
      <alignment horizontal="right" vertical="top" wrapText="1"/>
    </xf>
    <xf numFmtId="10" fontId="10" fillId="0" borderId="4" xfId="53" applyNumberFormat="1" applyFont="1" applyBorder="1"/>
    <xf numFmtId="164" fontId="10" fillId="0" borderId="4" xfId="54" applyNumberFormat="1" applyFont="1" applyBorder="1">
      <alignment vertical="center"/>
    </xf>
    <xf numFmtId="164" fontId="11" fillId="0" borderId="4" xfId="73" applyFont="1" applyBorder="1" applyAlignment="1">
      <alignment vertical="center"/>
    </xf>
    <xf numFmtId="43" fontId="10" fillId="0" borderId="4" xfId="14" applyNumberFormat="1" applyFont="1" applyBorder="1">
      <alignment vertical="center"/>
    </xf>
    <xf numFmtId="2" fontId="10" fillId="0" borderId="0" xfId="16" applyNumberFormat="1" applyFont="1">
      <alignment vertical="center"/>
    </xf>
    <xf numFmtId="2" fontId="15" fillId="0" borderId="0" xfId="62" applyNumberFormat="1" applyFont="1" applyAlignment="1">
      <alignment horizontal="left"/>
    </xf>
    <xf numFmtId="2" fontId="11" fillId="0" borderId="0" xfId="62" applyNumberFormat="1" applyFont="1" applyAlignment="1">
      <alignment horizontal="left" vertical="top"/>
    </xf>
    <xf numFmtId="2" fontId="11" fillId="0" borderId="0" xfId="62" applyNumberFormat="1" applyFont="1" applyAlignment="1">
      <alignment horizontal="right"/>
    </xf>
    <xf numFmtId="2" fontId="11" fillId="4" borderId="4" xfId="62" applyNumberFormat="1" applyFont="1" applyFill="1" applyBorder="1" applyAlignment="1">
      <alignment horizontal="center" vertical="center" wrapText="1"/>
    </xf>
    <xf numFmtId="2" fontId="11" fillId="4" borderId="4" xfId="62" quotePrefix="1" applyNumberFormat="1" applyFont="1" applyFill="1" applyBorder="1" applyAlignment="1">
      <alignment horizontal="center" vertical="center" wrapText="1"/>
    </xf>
    <xf numFmtId="2" fontId="11" fillId="4" borderId="4" xfId="54" applyNumberFormat="1" applyFont="1" applyFill="1" applyBorder="1" applyAlignment="1">
      <alignment horizontal="center" vertical="center" wrapText="1"/>
    </xf>
    <xf numFmtId="0" fontId="28" fillId="0" borderId="9" xfId="62" applyFont="1" applyBorder="1"/>
    <xf numFmtId="0" fontId="11" fillId="14" borderId="8" xfId="53" applyFont="1" applyFill="1" applyBorder="1"/>
    <xf numFmtId="0" fontId="11" fillId="0" borderId="5" xfId="53" applyFont="1" applyBorder="1"/>
    <xf numFmtId="0" fontId="11" fillId="0" borderId="5" xfId="53" applyFont="1" applyBorder="1" applyAlignment="1">
      <alignment horizontal="center" vertical="center"/>
    </xf>
    <xf numFmtId="0" fontId="10" fillId="0" borderId="6" xfId="53" applyFont="1" applyBorder="1"/>
    <xf numFmtId="0" fontId="11" fillId="0" borderId="6" xfId="53" applyFont="1" applyBorder="1"/>
    <xf numFmtId="0" fontId="11" fillId="0" borderId="6" xfId="53" applyFont="1" applyBorder="1" applyAlignment="1">
      <alignment horizontal="center" vertical="center"/>
    </xf>
    <xf numFmtId="0" fontId="10" fillId="0" borderId="5" xfId="53" applyFont="1" applyBorder="1"/>
    <xf numFmtId="1" fontId="0" fillId="0" borderId="0" xfId="0" applyNumberFormat="1"/>
    <xf numFmtId="2" fontId="10" fillId="0" borderId="4" xfId="15" applyNumberFormat="1" applyFont="1" applyBorder="1">
      <alignment vertical="center"/>
    </xf>
    <xf numFmtId="0" fontId="11" fillId="0" borderId="6" xfId="53" applyFont="1" applyBorder="1" applyAlignment="1">
      <alignment horizontal="center" vertical="center" wrapText="1"/>
    </xf>
    <xf numFmtId="0" fontId="11" fillId="0" borderId="6" xfId="62" applyFont="1" applyBorder="1" applyAlignment="1">
      <alignment horizontal="center" vertical="center" wrapText="1"/>
    </xf>
    <xf numFmtId="0" fontId="10" fillId="0" borderId="6" xfId="53" applyFont="1" applyBorder="1" applyAlignment="1">
      <alignment horizontal="center" vertical="center" wrapText="1"/>
    </xf>
    <xf numFmtId="46" fontId="10" fillId="0" borderId="5" xfId="53" applyNumberFormat="1" applyFont="1" applyBorder="1"/>
    <xf numFmtId="9" fontId="10" fillId="0" borderId="5" xfId="53" applyNumberFormat="1" applyFont="1" applyBorder="1"/>
    <xf numFmtId="0" fontId="10" fillId="0" borderId="9" xfId="62" applyFont="1" applyBorder="1"/>
    <xf numFmtId="0" fontId="10" fillId="0" borderId="4" xfId="53" applyFont="1" applyBorder="1" applyAlignment="1">
      <alignment horizontal="center" wrapText="1"/>
    </xf>
    <xf numFmtId="4" fontId="10" fillId="0" borderId="0" xfId="0" applyNumberFormat="1" applyFont="1"/>
    <xf numFmtId="170" fontId="11" fillId="0" borderId="0" xfId="0" applyNumberFormat="1" applyFont="1" applyAlignment="1">
      <alignment horizontal="center" vertical="center"/>
    </xf>
    <xf numFmtId="0" fontId="10" fillId="0" borderId="4" xfId="14" applyFont="1" applyBorder="1" applyAlignment="1">
      <alignment vertical="center" wrapText="1"/>
    </xf>
    <xf numFmtId="4" fontId="10" fillId="6" borderId="4" xfId="0" applyNumberFormat="1" applyFont="1" applyFill="1" applyBorder="1" applyAlignment="1">
      <alignment horizontal="center" vertical="center"/>
    </xf>
    <xf numFmtId="9" fontId="12" fillId="0" borderId="4" xfId="0" applyNumberFormat="1" applyFont="1" applyBorder="1" applyAlignment="1">
      <alignment horizontal="center" vertical="center" wrapText="1"/>
    </xf>
    <xf numFmtId="0" fontId="12" fillId="0" borderId="0" xfId="0" applyFont="1" applyAlignment="1">
      <alignment vertical="top" wrapText="1"/>
    </xf>
    <xf numFmtId="0" fontId="12" fillId="0" borderId="0" xfId="0" applyFont="1" applyAlignment="1">
      <alignment horizontal="center" vertical="center"/>
    </xf>
    <xf numFmtId="0" fontId="12" fillId="0" borderId="4" xfId="194" applyFont="1" applyBorder="1" applyAlignment="1">
      <alignment horizontal="center" vertical="center" wrapText="1"/>
    </xf>
    <xf numFmtId="1" fontId="31" fillId="0" borderId="4" xfId="22" applyNumberFormat="1" applyFont="1" applyBorder="1" applyAlignment="1">
      <alignment horizontal="center" vertical="center"/>
    </xf>
    <xf numFmtId="1" fontId="12" fillId="0" borderId="4" xfId="23" applyNumberFormat="1" applyFont="1" applyFill="1" applyBorder="1" applyAlignment="1">
      <alignment horizontal="center" vertical="center"/>
    </xf>
    <xf numFmtId="0" fontId="10" fillId="0" borderId="4" xfId="10" applyFont="1" applyBorder="1" applyAlignment="1">
      <alignment wrapText="1"/>
    </xf>
    <xf numFmtId="164" fontId="86" fillId="0" borderId="4" xfId="73" applyFont="1" applyFill="1" applyBorder="1" applyAlignment="1">
      <alignment vertical="center"/>
    </xf>
    <xf numFmtId="173" fontId="10" fillId="0" borderId="4" xfId="62" applyNumberFormat="1" applyFont="1" applyBorder="1" applyAlignment="1">
      <alignment horizontal="center" vertical="center"/>
    </xf>
    <xf numFmtId="0" fontId="14" fillId="0" borderId="4" xfId="62" applyFont="1" applyBorder="1" applyAlignment="1">
      <alignment horizontal="center" vertical="center"/>
    </xf>
    <xf numFmtId="1" fontId="10" fillId="0" borderId="4" xfId="62" applyNumberFormat="1" applyFont="1" applyBorder="1" applyAlignment="1">
      <alignment horizontal="center" vertical="center"/>
    </xf>
    <xf numFmtId="2" fontId="10" fillId="0" borderId="4" xfId="10" applyNumberFormat="1" applyFont="1" applyBorder="1" applyAlignment="1">
      <alignment horizontal="center" vertical="center"/>
    </xf>
    <xf numFmtId="0" fontId="10" fillId="0" borderId="0" xfId="62" applyFont="1" applyAlignment="1">
      <alignment horizontal="center" vertical="center"/>
    </xf>
    <xf numFmtId="2" fontId="14" fillId="0" borderId="4" xfId="62" applyNumberFormat="1" applyFont="1" applyBorder="1" applyAlignment="1">
      <alignment horizontal="center" vertical="center"/>
    </xf>
    <xf numFmtId="0" fontId="88" fillId="0" borderId="0" xfId="0" applyFont="1" applyAlignment="1">
      <alignment horizontal="left"/>
    </xf>
    <xf numFmtId="2" fontId="12" fillId="0" borderId="0" xfId="0" applyNumberFormat="1" applyFont="1"/>
    <xf numFmtId="2" fontId="0" fillId="0" borderId="0" xfId="0" applyNumberFormat="1"/>
    <xf numFmtId="170" fontId="10" fillId="0" borderId="0" xfId="14" applyNumberFormat="1" applyFont="1">
      <alignment vertical="center"/>
    </xf>
    <xf numFmtId="172" fontId="32" fillId="0" borderId="4" xfId="74" applyNumberFormat="1" applyFont="1" applyBorder="1" applyAlignment="1">
      <alignment vertical="center"/>
    </xf>
    <xf numFmtId="172" fontId="10" fillId="0" borderId="0" xfId="54" applyNumberFormat="1" applyFont="1">
      <alignment vertical="center"/>
    </xf>
    <xf numFmtId="172" fontId="10" fillId="0" borderId="4" xfId="54" applyNumberFormat="1" applyFont="1" applyBorder="1">
      <alignment vertical="center"/>
    </xf>
    <xf numFmtId="2" fontId="0" fillId="0" borderId="4" xfId="0" applyNumberFormat="1" applyBorder="1" applyAlignment="1">
      <alignment horizontal="center" vertical="center"/>
    </xf>
    <xf numFmtId="0" fontId="28" fillId="0" borderId="4" xfId="53" applyFont="1" applyBorder="1" applyAlignment="1">
      <alignment wrapText="1"/>
    </xf>
    <xf numFmtId="164" fontId="10" fillId="0" borderId="4" xfId="73" applyFont="1" applyBorder="1"/>
    <xf numFmtId="164" fontId="10" fillId="0" borderId="4" xfId="53" applyNumberFormat="1" applyFont="1" applyBorder="1"/>
    <xf numFmtId="164" fontId="38" fillId="5" borderId="4" xfId="73" applyFont="1" applyFill="1" applyBorder="1" applyAlignment="1">
      <alignment horizontal="center" vertical="center"/>
    </xf>
    <xf numFmtId="164" fontId="12" fillId="0" borderId="4" xfId="73" applyFont="1" applyBorder="1" applyAlignment="1">
      <alignment horizontal="center" vertical="center"/>
    </xf>
    <xf numFmtId="164" fontId="38" fillId="0" borderId="4" xfId="73" applyFont="1" applyBorder="1" applyAlignment="1">
      <alignment horizontal="center" vertical="center"/>
    </xf>
    <xf numFmtId="0" fontId="10" fillId="0" borderId="4" xfId="0" applyFont="1" applyBorder="1" applyAlignment="1">
      <alignment horizontal="center" vertical="center"/>
    </xf>
    <xf numFmtId="2" fontId="10" fillId="0" borderId="0" xfId="73" applyNumberFormat="1" applyFont="1" applyAlignment="1">
      <alignment vertical="center"/>
    </xf>
    <xf numFmtId="2" fontId="10" fillId="0" borderId="0" xfId="73" applyNumberFormat="1" applyFont="1" applyBorder="1" applyAlignment="1">
      <alignment vertical="center"/>
    </xf>
    <xf numFmtId="2" fontId="12" fillId="0" borderId="0" xfId="73" applyNumberFormat="1" applyFont="1" applyBorder="1"/>
    <xf numFmtId="164" fontId="10" fillId="0" borderId="4" xfId="73" applyFont="1" applyFill="1" applyBorder="1" applyAlignment="1">
      <alignment horizontal="right"/>
    </xf>
    <xf numFmtId="0" fontId="11" fillId="0" borderId="4" xfId="10" applyFont="1" applyBorder="1" applyAlignment="1">
      <alignment horizontal="center" vertical="top"/>
    </xf>
    <xf numFmtId="0" fontId="11" fillId="0" borderId="4" xfId="10" applyFont="1" applyBorder="1" applyAlignment="1">
      <alignment horizontal="left"/>
    </xf>
    <xf numFmtId="4" fontId="10" fillId="0" borderId="4" xfId="10" applyNumberFormat="1" applyFont="1" applyBorder="1" applyAlignment="1">
      <alignment horizontal="center" vertical="center"/>
    </xf>
    <xf numFmtId="4" fontId="49" fillId="0" borderId="4" xfId="73" applyNumberFormat="1" applyFont="1" applyBorder="1" applyAlignment="1">
      <alignment horizontal="center" vertical="center"/>
    </xf>
    <xf numFmtId="4" fontId="12" fillId="0" borderId="4" xfId="73" applyNumberFormat="1" applyFont="1" applyBorder="1" applyAlignment="1">
      <alignment horizontal="center" vertical="center"/>
    </xf>
    <xf numFmtId="4" fontId="49" fillId="0" borderId="4" xfId="73" applyNumberFormat="1" applyFont="1" applyFill="1" applyBorder="1" applyAlignment="1">
      <alignment horizontal="center" vertical="center"/>
    </xf>
    <xf numFmtId="4" fontId="12" fillId="0" borderId="4" xfId="73" applyNumberFormat="1" applyFont="1" applyFill="1" applyBorder="1" applyAlignment="1">
      <alignment horizontal="center" vertical="center"/>
    </xf>
    <xf numFmtId="4" fontId="38" fillId="0" borderId="4" xfId="73" applyNumberFormat="1" applyFont="1" applyFill="1" applyBorder="1" applyAlignment="1">
      <alignment horizontal="center" vertical="center"/>
    </xf>
    <xf numFmtId="4" fontId="38" fillId="0" borderId="4" xfId="73" applyNumberFormat="1" applyFont="1" applyBorder="1" applyAlignment="1">
      <alignment horizontal="center" vertical="center"/>
    </xf>
    <xf numFmtId="4" fontId="12" fillId="0" borderId="9" xfId="73" applyNumberFormat="1" applyFont="1" applyBorder="1" applyAlignment="1">
      <alignment horizontal="center" vertical="center"/>
    </xf>
    <xf numFmtId="4" fontId="12" fillId="0" borderId="9" xfId="73" applyNumberFormat="1" applyFont="1" applyFill="1" applyBorder="1" applyAlignment="1">
      <alignment horizontal="center" vertical="center"/>
    </xf>
    <xf numFmtId="4" fontId="38" fillId="0" borderId="9" xfId="73" applyNumberFormat="1" applyFont="1" applyFill="1" applyBorder="1" applyAlignment="1">
      <alignment horizontal="center" vertical="center"/>
    </xf>
    <xf numFmtId="4" fontId="38" fillId="0" borderId="9" xfId="73" applyNumberFormat="1" applyFont="1" applyBorder="1" applyAlignment="1">
      <alignment horizontal="center" vertical="center"/>
    </xf>
    <xf numFmtId="4" fontId="12" fillId="0" borderId="4" xfId="73" applyNumberFormat="1" applyFont="1" applyBorder="1" applyAlignment="1">
      <alignment horizontal="left" vertical="center"/>
    </xf>
    <xf numFmtId="0" fontId="12" fillId="0" borderId="0" xfId="0" applyFont="1" applyAlignment="1">
      <alignment horizontal="left"/>
    </xf>
    <xf numFmtId="0" fontId="92" fillId="0" borderId="0" xfId="0" applyFont="1"/>
    <xf numFmtId="0" fontId="38" fillId="7" borderId="4" xfId="62" applyFont="1" applyFill="1" applyBorder="1" applyAlignment="1">
      <alignment horizontal="center" vertical="center"/>
    </xf>
    <xf numFmtId="4" fontId="12" fillId="0" borderId="4" xfId="54" applyNumberFormat="1" applyFont="1" applyBorder="1" applyAlignment="1">
      <alignment horizontal="center" vertical="center"/>
    </xf>
    <xf numFmtId="0" fontId="49" fillId="0" borderId="4" xfId="63" applyFont="1" applyBorder="1" applyAlignment="1">
      <alignment horizontal="left" vertical="center"/>
    </xf>
    <xf numFmtId="0" fontId="90" fillId="7" borderId="4" xfId="0" applyFont="1" applyFill="1" applyBorder="1" applyAlignment="1">
      <alignment horizontal="center"/>
    </xf>
    <xf numFmtId="0" fontId="12" fillId="0" borderId="4" xfId="0" applyFont="1" applyBorder="1" applyAlignment="1">
      <alignment horizontal="left" vertical="center"/>
    </xf>
    <xf numFmtId="3" fontId="12" fillId="0" borderId="4" xfId="0" applyNumberFormat="1" applyFont="1" applyBorder="1" applyAlignment="1">
      <alignment horizontal="center"/>
    </xf>
    <xf numFmtId="3" fontId="49" fillId="0" borderId="4" xfId="0" applyNumberFormat="1" applyFont="1" applyBorder="1" applyAlignment="1">
      <alignment horizontal="center"/>
    </xf>
    <xf numFmtId="0" fontId="38" fillId="0" borderId="0" xfId="0" applyFont="1" applyAlignment="1">
      <alignment vertical="center"/>
    </xf>
    <xf numFmtId="0" fontId="94" fillId="7" borderId="4" xfId="0" applyFont="1" applyFill="1" applyBorder="1" applyAlignment="1">
      <alignment horizontal="center" vertical="center"/>
    </xf>
    <xf numFmtId="0" fontId="95" fillId="0" borderId="4" xfId="0" applyFont="1" applyBorder="1" applyAlignment="1">
      <alignment horizontal="center" vertical="center"/>
    </xf>
    <xf numFmtId="0" fontId="96" fillId="0" borderId="4" xfId="0" applyFont="1" applyBorder="1" applyAlignment="1">
      <alignment horizontal="center" vertical="center"/>
    </xf>
    <xf numFmtId="0" fontId="94" fillId="0" borderId="4" xfId="0" applyFont="1" applyBorder="1" applyAlignment="1">
      <alignment horizontal="center" vertical="center"/>
    </xf>
    <xf numFmtId="0" fontId="96" fillId="0" borderId="0" xfId="0" applyFont="1" applyAlignment="1">
      <alignment horizontal="justify" vertical="center"/>
    </xf>
    <xf numFmtId="0" fontId="12" fillId="0" borderId="4" xfId="0" applyFont="1" applyBorder="1" applyAlignment="1">
      <alignment horizontal="center"/>
    </xf>
    <xf numFmtId="0" fontId="12" fillId="0" borderId="8" xfId="0" applyFont="1" applyBorder="1" applyAlignment="1">
      <alignment horizontal="center" vertical="center"/>
    </xf>
    <xf numFmtId="0" fontId="38" fillId="7" borderId="4" xfId="0" applyFont="1" applyFill="1" applyBorder="1" applyAlignment="1">
      <alignment horizontal="center"/>
    </xf>
    <xf numFmtId="0" fontId="97" fillId="0" borderId="0" xfId="0" applyFont="1"/>
    <xf numFmtId="164" fontId="12" fillId="0" borderId="4" xfId="0" applyNumberFormat="1" applyFont="1" applyBorder="1"/>
    <xf numFmtId="4" fontId="12" fillId="0" borderId="4" xfId="0" applyNumberFormat="1" applyFont="1" applyBorder="1" applyAlignment="1">
      <alignment horizontal="center" vertical="center"/>
    </xf>
    <xf numFmtId="0" fontId="38" fillId="4" borderId="4" xfId="54" applyFont="1" applyFill="1" applyBorder="1" applyAlignment="1">
      <alignment horizontal="center" vertical="center"/>
    </xf>
    <xf numFmtId="4" fontId="38" fillId="6" borderId="0" xfId="54" applyNumberFormat="1" applyFont="1" applyFill="1" applyAlignment="1">
      <alignment horizontal="center" vertical="center"/>
    </xf>
    <xf numFmtId="4" fontId="12" fillId="6" borderId="0" xfId="0" applyNumberFormat="1" applyFont="1" applyFill="1" applyAlignment="1">
      <alignment horizontal="center" vertical="center"/>
    </xf>
    <xf numFmtId="4" fontId="12" fillId="6" borderId="0" xfId="54" applyNumberFormat="1" applyFont="1" applyFill="1" applyAlignment="1">
      <alignment horizontal="center" vertical="center"/>
    </xf>
    <xf numFmtId="4" fontId="93" fillId="6" borderId="0" xfId="73" applyNumberFormat="1" applyFont="1" applyFill="1" applyBorder="1" applyAlignment="1">
      <alignment horizontal="center" vertical="center"/>
    </xf>
    <xf numFmtId="4" fontId="49" fillId="6" borderId="0" xfId="75" applyNumberFormat="1" applyFont="1" applyFill="1" applyAlignment="1">
      <alignment horizontal="center" vertical="center"/>
    </xf>
    <xf numFmtId="4" fontId="12" fillId="6" borderId="0" xfId="63" applyNumberFormat="1" applyFont="1" applyFill="1" applyAlignment="1">
      <alignment horizontal="center" vertical="center"/>
    </xf>
    <xf numFmtId="4" fontId="49" fillId="6" borderId="0" xfId="76" applyNumberFormat="1" applyFont="1" applyFill="1" applyAlignment="1">
      <alignment horizontal="center" vertical="center"/>
    </xf>
    <xf numFmtId="4" fontId="49" fillId="6" borderId="0" xfId="77" applyNumberFormat="1" applyFont="1" applyFill="1" applyAlignment="1">
      <alignment horizontal="center" vertical="center"/>
    </xf>
    <xf numFmtId="4" fontId="49" fillId="6" borderId="0" xfId="78" applyNumberFormat="1" applyFont="1" applyFill="1" applyAlignment="1">
      <alignment horizontal="center" vertical="center"/>
    </xf>
    <xf numFmtId="4" fontId="49" fillId="6" borderId="0" xfId="0" applyNumberFormat="1" applyFont="1" applyFill="1" applyAlignment="1">
      <alignment horizontal="center" vertical="center"/>
    </xf>
    <xf numFmtId="4" fontId="12" fillId="6" borderId="0" xfId="73" applyNumberFormat="1" applyFont="1" applyFill="1" applyBorder="1" applyAlignment="1">
      <alignment horizontal="center" vertical="center"/>
    </xf>
    <xf numFmtId="4" fontId="49" fillId="6" borderId="0" xfId="79" applyNumberFormat="1" applyFont="1" applyFill="1" applyAlignment="1">
      <alignment horizontal="center" vertical="center"/>
    </xf>
    <xf numFmtId="4" fontId="38" fillId="6" borderId="0" xfId="63" applyNumberFormat="1" applyFont="1" applyFill="1" applyAlignment="1">
      <alignment horizontal="center" vertical="center"/>
    </xf>
    <xf numFmtId="0" fontId="12" fillId="6" borderId="0" xfId="0" applyFont="1" applyFill="1"/>
    <xf numFmtId="0" fontId="38" fillId="4" borderId="5" xfId="54" applyFont="1" applyFill="1" applyBorder="1" applyAlignment="1">
      <alignment horizontal="center" vertical="center"/>
    </xf>
    <xf numFmtId="4" fontId="38" fillId="4" borderId="4" xfId="54" applyNumberFormat="1" applyFont="1" applyFill="1" applyBorder="1" applyAlignment="1">
      <alignment horizontal="center" vertical="center"/>
    </xf>
    <xf numFmtId="174" fontId="12" fillId="0" borderId="4" xfId="73" applyNumberFormat="1" applyFont="1" applyFill="1" applyBorder="1" applyAlignment="1">
      <alignment horizontal="center" vertical="center"/>
    </xf>
    <xf numFmtId="174" fontId="38" fillId="5" borderId="4" xfId="73" applyNumberFormat="1" applyFont="1" applyFill="1" applyBorder="1" applyAlignment="1">
      <alignment horizontal="center" vertical="center"/>
    </xf>
    <xf numFmtId="174" fontId="12" fillId="0" borderId="4" xfId="73" applyNumberFormat="1" applyFont="1" applyBorder="1" applyAlignment="1">
      <alignment horizontal="center" vertical="center"/>
    </xf>
    <xf numFmtId="174" fontId="38" fillId="0" borderId="4" xfId="73" applyNumberFormat="1" applyFont="1" applyBorder="1" applyAlignment="1">
      <alignment horizontal="center" vertical="center"/>
    </xf>
    <xf numFmtId="0" fontId="12" fillId="0" borderId="0" xfId="0" applyFont="1" applyAlignment="1">
      <alignment wrapText="1"/>
    </xf>
    <xf numFmtId="0" fontId="38" fillId="0" borderId="0" xfId="15" applyFont="1" applyAlignment="1">
      <alignment horizontal="right" vertical="center" wrapText="1"/>
    </xf>
    <xf numFmtId="4" fontId="38" fillId="4" borderId="4" xfId="54" applyNumberFormat="1" applyFont="1" applyFill="1" applyBorder="1" applyAlignment="1">
      <alignment horizontal="center" vertical="center" wrapText="1"/>
    </xf>
    <xf numFmtId="4" fontId="12" fillId="0" borderId="4" xfId="73" applyNumberFormat="1" applyFont="1" applyFill="1" applyBorder="1" applyAlignment="1">
      <alignment horizontal="left" vertical="center" wrapText="1"/>
    </xf>
    <xf numFmtId="4" fontId="12" fillId="0" borderId="4" xfId="0" applyNumberFormat="1" applyFont="1" applyBorder="1" applyAlignment="1">
      <alignment horizontal="center"/>
    </xf>
    <xf numFmtId="4" fontId="38" fillId="0" borderId="4" xfId="0" applyNumberFormat="1" applyFont="1" applyBorder="1" applyAlignment="1">
      <alignment horizontal="center"/>
    </xf>
    <xf numFmtId="175" fontId="12" fillId="0" borderId="0" xfId="0" applyNumberFormat="1" applyFont="1"/>
    <xf numFmtId="0" fontId="38" fillId="4" borderId="4" xfId="54" applyFont="1" applyFill="1" applyBorder="1">
      <alignment vertical="center"/>
    </xf>
    <xf numFmtId="4" fontId="38" fillId="4" borderId="4" xfId="54" applyNumberFormat="1" applyFont="1" applyFill="1" applyBorder="1">
      <alignment vertical="center"/>
    </xf>
    <xf numFmtId="0" fontId="49" fillId="0" borderId="4" xfId="63" quotePrefix="1" applyFont="1" applyBorder="1" applyAlignment="1">
      <alignment horizontal="left" vertical="center"/>
    </xf>
    <xf numFmtId="0" fontId="12" fillId="0" borderId="0" xfId="10" applyFont="1" applyAlignment="1">
      <alignment horizontal="right"/>
    </xf>
    <xf numFmtId="10" fontId="12" fillId="0" borderId="0" xfId="74" applyNumberFormat="1" applyFont="1"/>
    <xf numFmtId="4" fontId="12" fillId="18" borderId="4" xfId="0" applyNumberFormat="1" applyFont="1" applyFill="1" applyBorder="1" applyAlignment="1">
      <alignment horizontal="center"/>
    </xf>
    <xf numFmtId="4" fontId="38" fillId="0" borderId="35" xfId="54" applyNumberFormat="1" applyFont="1" applyBorder="1" applyAlignment="1">
      <alignment horizontal="center" vertical="center"/>
    </xf>
    <xf numFmtId="2" fontId="12" fillId="0" borderId="4" xfId="0" applyNumberFormat="1" applyFont="1" applyBorder="1" applyAlignment="1">
      <alignment horizontal="center" vertical="center"/>
    </xf>
    <xf numFmtId="4" fontId="12" fillId="0" borderId="0" xfId="0" applyNumberFormat="1" applyFont="1"/>
    <xf numFmtId="3" fontId="12" fillId="0" borderId="0" xfId="0" applyNumberFormat="1" applyFont="1"/>
    <xf numFmtId="3" fontId="12" fillId="0" borderId="0" xfId="0" applyNumberFormat="1" applyFont="1" applyAlignment="1">
      <alignment horizontal="center"/>
    </xf>
    <xf numFmtId="0" fontId="38" fillId="4" borderId="9" xfId="54" applyFont="1" applyFill="1" applyBorder="1" applyAlignment="1">
      <alignment horizontal="center" vertical="center"/>
    </xf>
    <xf numFmtId="0" fontId="12" fillId="5" borderId="4" xfId="63" applyFont="1" applyFill="1" applyBorder="1" applyAlignment="1">
      <alignment horizontal="left"/>
    </xf>
    <xf numFmtId="2" fontId="49" fillId="0" borderId="4" xfId="63" applyNumberFormat="1" applyFont="1" applyBorder="1" applyAlignment="1">
      <alignment horizontal="left"/>
    </xf>
    <xf numFmtId="0" fontId="38" fillId="5" borderId="4" xfId="63" applyFont="1" applyFill="1" applyBorder="1" applyAlignment="1">
      <alignment horizontal="left"/>
    </xf>
    <xf numFmtId="4" fontId="38" fillId="5" borderId="4" xfId="73" applyNumberFormat="1" applyFont="1" applyFill="1" applyBorder="1" applyAlignment="1">
      <alignment horizontal="center" vertical="center"/>
    </xf>
    <xf numFmtId="0" fontId="12" fillId="0" borderId="0" xfId="10" applyFont="1"/>
    <xf numFmtId="0" fontId="97" fillId="0" borderId="0" xfId="0" applyFont="1" applyAlignment="1">
      <alignment horizontal="right"/>
    </xf>
    <xf numFmtId="9" fontId="10" fillId="0" borderId="0" xfId="0" applyNumberFormat="1" applyFont="1"/>
    <xf numFmtId="2" fontId="10" fillId="0" borderId="4" xfId="0" applyNumberFormat="1" applyFont="1" applyBorder="1" applyAlignment="1">
      <alignment horizontal="center"/>
    </xf>
    <xf numFmtId="0" fontId="98" fillId="0" borderId="0" xfId="10" applyFont="1"/>
    <xf numFmtId="4" fontId="11" fillId="0" borderId="4" xfId="62" applyNumberFormat="1" applyFont="1" applyBorder="1" applyAlignment="1">
      <alignment horizontal="center" vertical="center"/>
    </xf>
    <xf numFmtId="4" fontId="11" fillId="0" borderId="0" xfId="62" applyNumberFormat="1" applyFont="1" applyAlignment="1">
      <alignment horizontal="center" vertical="center"/>
    </xf>
    <xf numFmtId="4" fontId="10" fillId="0" borderId="0" xfId="10" applyNumberFormat="1" applyFont="1" applyAlignment="1">
      <alignment horizontal="center"/>
    </xf>
    <xf numFmtId="0" fontId="11" fillId="0" borderId="9" xfId="10" applyFont="1" applyBorder="1" applyAlignment="1">
      <alignment horizontal="center" vertical="center"/>
    </xf>
    <xf numFmtId="0" fontId="10" fillId="0" borderId="5" xfId="10" applyFont="1" applyBorder="1" applyAlignment="1">
      <alignment horizontal="left"/>
    </xf>
    <xf numFmtId="4" fontId="10" fillId="0" borderId="5" xfId="10" applyNumberFormat="1" applyFont="1" applyBorder="1" applyAlignment="1">
      <alignment horizontal="center" vertical="center"/>
    </xf>
    <xf numFmtId="0" fontId="10" fillId="14" borderId="8" xfId="53" applyFont="1" applyFill="1" applyBorder="1"/>
    <xf numFmtId="0" fontId="10" fillId="0" borderId="5" xfId="62" applyFont="1" applyBorder="1"/>
    <xf numFmtId="0" fontId="10" fillId="0" borderId="5" xfId="53" applyFont="1" applyBorder="1" applyAlignment="1">
      <alignment horizontal="center" vertical="center"/>
    </xf>
    <xf numFmtId="0" fontId="10" fillId="0" borderId="6" xfId="62" applyFont="1" applyBorder="1"/>
    <xf numFmtId="0" fontId="10" fillId="0" borderId="6" xfId="53" applyFont="1" applyBorder="1" applyAlignment="1">
      <alignment horizontal="center" vertical="center"/>
    </xf>
    <xf numFmtId="0" fontId="99" fillId="0" borderId="4" xfId="62" applyFont="1" applyBorder="1" applyAlignment="1">
      <alignment wrapText="1"/>
    </xf>
    <xf numFmtId="0" fontId="10" fillId="0" borderId="0" xfId="0" applyFont="1" applyAlignment="1">
      <alignment vertical="center"/>
    </xf>
    <xf numFmtId="9" fontId="12" fillId="0" borderId="4" xfId="0" applyNumberFormat="1" applyFont="1" applyBorder="1" applyAlignment="1">
      <alignment horizontal="center" vertical="center"/>
    </xf>
    <xf numFmtId="176" fontId="12" fillId="0" borderId="4" xfId="0" applyNumberFormat="1" applyFont="1" applyBorder="1" applyAlignment="1">
      <alignment horizontal="center" vertical="center"/>
    </xf>
    <xf numFmtId="10" fontId="12" fillId="0" borderId="4" xfId="0" applyNumberFormat="1" applyFont="1" applyBorder="1" applyAlignment="1">
      <alignment horizontal="center" vertical="center"/>
    </xf>
    <xf numFmtId="0" fontId="12" fillId="0" borderId="9" xfId="0" applyFont="1" applyBorder="1"/>
    <xf numFmtId="177" fontId="12" fillId="0" borderId="4" xfId="0" applyNumberFormat="1" applyFont="1" applyBorder="1"/>
    <xf numFmtId="0" fontId="10" fillId="6" borderId="0" xfId="53" applyFont="1" applyFill="1" applyAlignment="1">
      <alignment horizontal="left"/>
    </xf>
    <xf numFmtId="2" fontId="84" fillId="0" borderId="4" xfId="62" applyNumberFormat="1" applyFont="1" applyBorder="1" applyAlignment="1">
      <alignment horizontal="center" vertical="center"/>
    </xf>
    <xf numFmtId="4" fontId="10" fillId="0" borderId="4" xfId="62" applyNumberFormat="1" applyFont="1" applyBorder="1" applyAlignment="1">
      <alignment horizontal="center" vertical="center"/>
    </xf>
    <xf numFmtId="4" fontId="14" fillId="0" borderId="4" xfId="62" applyNumberFormat="1" applyFont="1" applyBorder="1" applyAlignment="1">
      <alignment horizontal="center" vertical="center"/>
    </xf>
    <xf numFmtId="4" fontId="89" fillId="0" borderId="4" xfId="62" applyNumberFormat="1" applyFont="1" applyBorder="1" applyAlignment="1">
      <alignment horizontal="center" vertical="center"/>
    </xf>
    <xf numFmtId="4" fontId="11" fillId="0" borderId="0" xfId="0" applyNumberFormat="1" applyFont="1" applyAlignment="1">
      <alignment horizontal="left"/>
    </xf>
    <xf numFmtId="4" fontId="11" fillId="0" borderId="0" xfId="0" applyNumberFormat="1" applyFont="1" applyAlignment="1">
      <alignment horizontal="centerContinuous"/>
    </xf>
    <xf numFmtId="4" fontId="11" fillId="0" borderId="0" xfId="0" applyNumberFormat="1" applyFont="1" applyAlignment="1">
      <alignment horizontal="center"/>
    </xf>
    <xf numFmtId="4" fontId="10" fillId="0" borderId="0" xfId="0" applyNumberFormat="1" applyFont="1" applyAlignment="1">
      <alignment horizontal="centerContinuous"/>
    </xf>
    <xf numFmtId="4" fontId="11" fillId="0" borderId="0" xfId="0" applyNumberFormat="1" applyFont="1" applyAlignment="1">
      <alignment horizontal="center" vertical="top"/>
    </xf>
    <xf numFmtId="4" fontId="11" fillId="0" borderId="0" xfId="0" applyNumberFormat="1" applyFont="1"/>
    <xf numFmtId="4" fontId="11" fillId="0" borderId="0" xfId="62" applyNumberFormat="1" applyFont="1" applyAlignment="1">
      <alignment horizontal="left"/>
    </xf>
    <xf numFmtId="4" fontId="10" fillId="0" borderId="0" xfId="62" applyNumberFormat="1" applyFont="1"/>
    <xf numFmtId="4" fontId="11" fillId="0" borderId="0" xfId="62" applyNumberFormat="1" applyFont="1"/>
    <xf numFmtId="4" fontId="13" fillId="0" borderId="0" xfId="62" applyNumberFormat="1" applyFont="1" applyAlignment="1">
      <alignment horizontal="left"/>
    </xf>
    <xf numFmtId="4" fontId="11" fillId="0" borderId="0" xfId="62" applyNumberFormat="1" applyFont="1" applyAlignment="1">
      <alignment horizontal="centerContinuous"/>
    </xf>
    <xf numFmtId="4" fontId="11" fillId="0" borderId="0" xfId="62" applyNumberFormat="1" applyFont="1" applyAlignment="1">
      <alignment horizontal="right"/>
    </xf>
    <xf numFmtId="4" fontId="11" fillId="4" borderId="4" xfId="62" applyNumberFormat="1" applyFont="1" applyFill="1" applyBorder="1" applyAlignment="1">
      <alignment horizontal="center" vertical="center" wrapText="1"/>
    </xf>
    <xf numFmtId="4" fontId="11" fillId="4" borderId="4" xfId="54" applyNumberFormat="1" applyFont="1" applyFill="1" applyBorder="1" applyAlignment="1">
      <alignment horizontal="center" vertical="center" wrapText="1"/>
    </xf>
    <xf numFmtId="4" fontId="10" fillId="0" borderId="4" xfId="62" applyNumberFormat="1" applyFont="1" applyBorder="1" applyAlignment="1">
      <alignment horizontal="center" vertical="top"/>
    </xf>
    <xf numFmtId="4" fontId="10" fillId="0" borderId="4" xfId="62" applyNumberFormat="1" applyFont="1" applyBorder="1" applyAlignment="1">
      <alignment horizontal="left" vertical="top"/>
    </xf>
    <xf numFmtId="4" fontId="10" fillId="0" borderId="4" xfId="62" applyNumberFormat="1" applyFont="1" applyBorder="1"/>
    <xf numFmtId="4" fontId="10" fillId="0" borderId="4" xfId="62" applyNumberFormat="1" applyFont="1" applyBorder="1" applyAlignment="1">
      <alignment vertical="top"/>
    </xf>
    <xf numFmtId="4" fontId="88" fillId="0" borderId="4" xfId="62" applyNumberFormat="1" applyFont="1" applyBorder="1" applyAlignment="1">
      <alignment horizontal="left"/>
    </xf>
    <xf numFmtId="4" fontId="11" fillId="0" borderId="4" xfId="62" applyNumberFormat="1" applyFont="1" applyBorder="1" applyAlignment="1">
      <alignment horizontal="left" vertical="top"/>
    </xf>
    <xf numFmtId="4" fontId="15" fillId="0" borderId="0" xfId="62" applyNumberFormat="1" applyFont="1" applyAlignment="1">
      <alignment horizontal="left"/>
    </xf>
    <xf numFmtId="4" fontId="11" fillId="0" borderId="0" xfId="62" applyNumberFormat="1" applyFont="1" applyAlignment="1">
      <alignment horizontal="left" vertical="top"/>
    </xf>
    <xf numFmtId="4" fontId="11" fillId="4" borderId="4" xfId="62" quotePrefix="1" applyNumberFormat="1" applyFont="1" applyFill="1" applyBorder="1" applyAlignment="1">
      <alignment horizontal="center" vertical="center" wrapText="1"/>
    </xf>
    <xf numFmtId="4" fontId="10" fillId="0" borderId="0" xfId="0" applyNumberFormat="1" applyFont="1" applyAlignment="1">
      <alignment horizontal="center" vertical="center"/>
    </xf>
    <xf numFmtId="4" fontId="10" fillId="0" borderId="9" xfId="62" applyNumberFormat="1" applyFont="1" applyBorder="1" applyAlignment="1">
      <alignment horizontal="center" vertical="center"/>
    </xf>
    <xf numFmtId="4" fontId="15" fillId="0" borderId="4" xfId="62" applyNumberFormat="1" applyFont="1" applyBorder="1" applyAlignment="1">
      <alignment horizontal="left"/>
    </xf>
    <xf numFmtId="4" fontId="14" fillId="0" borderId="0" xfId="62" applyNumberFormat="1" applyFont="1"/>
    <xf numFmtId="4" fontId="10" fillId="6" borderId="0" xfId="54" applyNumberFormat="1" applyFont="1" applyFill="1">
      <alignment vertical="center"/>
    </xf>
    <xf numFmtId="4" fontId="11" fillId="6" borderId="0" xfId="62" applyNumberFormat="1" applyFont="1" applyFill="1" applyAlignment="1">
      <alignment horizontal="left" vertical="top"/>
    </xf>
    <xf numFmtId="4" fontId="15" fillId="6" borderId="0" xfId="62" applyNumberFormat="1" applyFont="1" applyFill="1" applyAlignment="1">
      <alignment horizontal="left"/>
    </xf>
    <xf numFmtId="4" fontId="14" fillId="0" borderId="4" xfId="62" applyNumberFormat="1" applyFont="1" applyBorder="1"/>
    <xf numFmtId="4" fontId="10" fillId="0" borderId="4" xfId="10" applyNumberFormat="1" applyFont="1" applyBorder="1"/>
    <xf numFmtId="4" fontId="10" fillId="0" borderId="4" xfId="10" applyNumberFormat="1" applyFont="1" applyBorder="1" applyAlignment="1">
      <alignment vertical="top"/>
    </xf>
    <xf numFmtId="4" fontId="15" fillId="0" borderId="4" xfId="10" applyNumberFormat="1" applyFont="1" applyBorder="1" applyAlignment="1">
      <alignment horizontal="left"/>
    </xf>
    <xf numFmtId="4" fontId="10" fillId="0" borderId="4" xfId="0" applyNumberFormat="1" applyFont="1" applyBorder="1"/>
    <xf numFmtId="4" fontId="11" fillId="0" borderId="4" xfId="10" applyNumberFormat="1" applyFont="1" applyBorder="1" applyAlignment="1">
      <alignment horizontal="left" vertical="top"/>
    </xf>
    <xf numFmtId="4" fontId="15" fillId="0" borderId="0" xfId="10" applyNumberFormat="1" applyFont="1" applyAlignment="1">
      <alignment horizontal="left"/>
    </xf>
    <xf numFmtId="2" fontId="10" fillId="0" borderId="4" xfId="73" applyNumberFormat="1" applyFont="1" applyBorder="1" applyAlignment="1">
      <alignment horizontal="center" vertical="center"/>
    </xf>
    <xf numFmtId="4" fontId="10" fillId="0" borderId="9" xfId="62" applyNumberFormat="1" applyFont="1" applyBorder="1" applyAlignment="1">
      <alignment vertical="top"/>
    </xf>
    <xf numFmtId="4" fontId="10" fillId="0" borderId="9" xfId="62" applyNumberFormat="1" applyFont="1" applyBorder="1" applyAlignment="1">
      <alignment horizontal="left" vertical="top"/>
    </xf>
    <xf numFmtId="4" fontId="10" fillId="0" borderId="9" xfId="0" applyNumberFormat="1" applyFont="1" applyBorder="1" applyAlignment="1">
      <alignment horizontal="center" vertical="center"/>
    </xf>
    <xf numFmtId="4" fontId="10" fillId="0" borderId="6" xfId="62" applyNumberFormat="1" applyFont="1" applyBorder="1" applyAlignment="1">
      <alignment horizontal="center" vertical="center"/>
    </xf>
    <xf numFmtId="3" fontId="10" fillId="0" borderId="4" xfId="0" applyNumberFormat="1" applyFont="1" applyBorder="1"/>
    <xf numFmtId="4" fontId="11" fillId="0" borderId="0" xfId="0" applyNumberFormat="1" applyFont="1" applyAlignment="1">
      <alignment vertical="center"/>
    </xf>
    <xf numFmtId="4" fontId="10" fillId="0" borderId="0" xfId="0" applyNumberFormat="1" applyFont="1" applyAlignment="1">
      <alignment vertical="center"/>
    </xf>
    <xf numFmtId="4" fontId="11" fillId="0" borderId="0" xfId="0" applyNumberFormat="1" applyFont="1" applyAlignment="1">
      <alignment horizontal="center" vertical="center"/>
    </xf>
    <xf numFmtId="4" fontId="11" fillId="0" borderId="0" xfId="0" applyNumberFormat="1" applyFont="1" applyAlignment="1">
      <alignment horizontal="right"/>
    </xf>
    <xf numFmtId="4" fontId="10" fillId="0" borderId="0" xfId="15" applyNumberFormat="1" applyFont="1" applyAlignment="1">
      <alignment vertical="center" wrapText="1"/>
    </xf>
    <xf numFmtId="4" fontId="10" fillId="0" borderId="4" xfId="0" applyNumberFormat="1" applyFont="1" applyBorder="1" applyAlignment="1">
      <alignment horizontal="center" vertical="top"/>
    </xf>
    <xf numFmtId="4" fontId="10" fillId="0" borderId="4" xfId="0" applyNumberFormat="1" applyFont="1" applyBorder="1" applyAlignment="1">
      <alignment horizontal="left" vertical="top" wrapText="1"/>
    </xf>
    <xf numFmtId="4" fontId="10" fillId="0" borderId="4" xfId="0" applyNumberFormat="1" applyFont="1" applyBorder="1" applyAlignment="1">
      <alignment vertical="top"/>
    </xf>
    <xf numFmtId="4" fontId="11" fillId="0" borderId="4" xfId="0" applyNumberFormat="1" applyFont="1" applyBorder="1" applyAlignment="1">
      <alignment vertical="top"/>
    </xf>
    <xf numFmtId="4" fontId="44" fillId="0" borderId="33" xfId="0" applyNumberFormat="1" applyFont="1" applyBorder="1" applyAlignment="1">
      <alignment horizontal="center" vertical="center"/>
    </xf>
    <xf numFmtId="4" fontId="11" fillId="0" borderId="0" xfId="54" applyNumberFormat="1" applyFont="1" applyAlignment="1">
      <alignment horizontal="center" vertical="center" wrapText="1"/>
    </xf>
    <xf numFmtId="4" fontId="10" fillId="0" borderId="4" xfId="0" applyNumberFormat="1" applyFont="1" applyBorder="1" applyAlignment="1">
      <alignment horizontal="center"/>
    </xf>
    <xf numFmtId="4" fontId="10" fillId="0" borderId="0" xfId="74" applyNumberFormat="1" applyFont="1" applyFill="1" applyBorder="1"/>
    <xf numFmtId="4" fontId="86" fillId="0" borderId="4" xfId="0" applyNumberFormat="1" applyFont="1" applyBorder="1" applyAlignment="1">
      <alignment horizontal="center" vertical="center"/>
    </xf>
    <xf numFmtId="4" fontId="32" fillId="0" borderId="4" xfId="0" applyNumberFormat="1" applyFont="1" applyBorder="1"/>
    <xf numFmtId="4" fontId="32" fillId="0" borderId="4" xfId="0" applyNumberFormat="1" applyFont="1" applyBorder="1" applyAlignment="1">
      <alignment horizontal="center"/>
    </xf>
    <xf numFmtId="4" fontId="32" fillId="0" borderId="0" xfId="0" applyNumberFormat="1" applyFont="1"/>
    <xf numFmtId="4" fontId="32" fillId="0" borderId="0" xfId="0" applyNumberFormat="1" applyFont="1" applyAlignment="1">
      <alignment horizontal="center"/>
    </xf>
    <xf numFmtId="4" fontId="46" fillId="0" borderId="0" xfId="0" applyNumberFormat="1" applyFont="1"/>
    <xf numFmtId="4" fontId="10" fillId="0" borderId="4" xfId="73" applyNumberFormat="1" applyFont="1" applyBorder="1"/>
    <xf numFmtId="3" fontId="10" fillId="0" borderId="4" xfId="0" applyNumberFormat="1" applyFont="1" applyBorder="1" applyAlignment="1">
      <alignment horizontal="center" vertical="top"/>
    </xf>
    <xf numFmtId="0" fontId="10" fillId="0" borderId="4" xfId="0" applyFont="1" applyBorder="1" applyAlignment="1">
      <alignment vertical="center"/>
    </xf>
    <xf numFmtId="4" fontId="10" fillId="18" borderId="4" xfId="0" applyNumberFormat="1" applyFont="1" applyFill="1" applyBorder="1" applyAlignment="1">
      <alignment horizontal="center" vertical="center"/>
    </xf>
    <xf numFmtId="4" fontId="10" fillId="0" borderId="0" xfId="0" applyNumberFormat="1" applyFont="1" applyAlignment="1">
      <alignment horizontal="left"/>
    </xf>
    <xf numFmtId="4" fontId="29" fillId="0" borderId="0" xfId="0" applyNumberFormat="1" applyFont="1" applyAlignment="1">
      <alignment vertical="center"/>
    </xf>
    <xf numFmtId="4" fontId="10" fillId="0" borderId="4" xfId="0" applyNumberFormat="1" applyFont="1" applyBorder="1" applyAlignment="1">
      <alignment vertical="center" wrapText="1"/>
    </xf>
    <xf numFmtId="4" fontId="10" fillId="0" borderId="0" xfId="15" applyNumberFormat="1" applyFont="1">
      <alignment vertical="center"/>
    </xf>
    <xf numFmtId="4" fontId="11" fillId="4" borderId="4" xfId="15" applyNumberFormat="1" applyFont="1" applyFill="1" applyBorder="1" applyAlignment="1">
      <alignment horizontal="center" vertical="center" wrapText="1"/>
    </xf>
    <xf numFmtId="4" fontId="10" fillId="0" borderId="0" xfId="14" applyNumberFormat="1" applyFont="1">
      <alignment vertical="center"/>
    </xf>
    <xf numFmtId="4" fontId="10" fillId="0" borderId="4" xfId="16" applyNumberFormat="1" applyFont="1" applyBorder="1">
      <alignment vertical="center"/>
    </xf>
    <xf numFmtId="4" fontId="11" fillId="0" borderId="4" xfId="16" applyNumberFormat="1" applyFont="1" applyBorder="1" applyAlignment="1">
      <alignment vertical="top" wrapText="1"/>
    </xf>
    <xf numFmtId="3" fontId="11" fillId="0" borderId="0" xfId="0" applyNumberFormat="1" applyFont="1" applyAlignment="1">
      <alignment horizontal="left"/>
    </xf>
    <xf numFmtId="3" fontId="11" fillId="0" borderId="0" xfId="0" applyNumberFormat="1" applyFont="1" applyAlignment="1">
      <alignment vertical="center"/>
    </xf>
    <xf numFmtId="3" fontId="10" fillId="0" borderId="0" xfId="0" applyNumberFormat="1" applyFont="1"/>
    <xf numFmtId="3" fontId="11" fillId="0" borderId="0" xfId="0" applyNumberFormat="1" applyFont="1"/>
    <xf numFmtId="3" fontId="10" fillId="0" borderId="4" xfId="62" applyNumberFormat="1" applyFont="1" applyBorder="1" applyAlignment="1">
      <alignment horizontal="center" vertical="center"/>
    </xf>
    <xf numFmtId="3" fontId="11" fillId="0" borderId="4" xfId="62" applyNumberFormat="1" applyFont="1" applyBorder="1"/>
    <xf numFmtId="3" fontId="11" fillId="0" borderId="0" xfId="0" applyNumberFormat="1" applyFont="1" applyAlignment="1">
      <alignment horizontal="centerContinuous"/>
    </xf>
    <xf numFmtId="3" fontId="11" fillId="0" borderId="4" xfId="16" applyNumberFormat="1" applyFont="1" applyBorder="1" applyAlignment="1">
      <alignment horizontal="center" vertical="center"/>
    </xf>
    <xf numFmtId="3" fontId="10" fillId="0" borderId="4" xfId="16" applyNumberFormat="1" applyFont="1" applyBorder="1" applyAlignment="1">
      <alignment horizontal="center" vertical="center"/>
    </xf>
    <xf numFmtId="3" fontId="85" fillId="0" borderId="23" xfId="0" applyNumberFormat="1" applyFont="1" applyBorder="1" applyAlignment="1">
      <alignment horizontal="center" wrapText="1" readingOrder="1"/>
    </xf>
    <xf numFmtId="3" fontId="85" fillId="0" borderId="36" xfId="0" applyNumberFormat="1" applyFont="1" applyBorder="1" applyAlignment="1">
      <alignment horizontal="center" wrapText="1" readingOrder="1"/>
    </xf>
    <xf numFmtId="3" fontId="85" fillId="0" borderId="4" xfId="0" applyNumberFormat="1" applyFont="1" applyBorder="1" applyAlignment="1">
      <alignment horizontal="center" wrapText="1" readingOrder="1"/>
    </xf>
    <xf numFmtId="0" fontId="10" fillId="0" borderId="6" xfId="62" applyFont="1" applyBorder="1" applyAlignment="1">
      <alignment horizontal="center" vertical="center" wrapText="1"/>
    </xf>
    <xf numFmtId="0" fontId="43" fillId="0" borderId="23" xfId="0" applyFont="1" applyBorder="1" applyAlignment="1">
      <alignment horizontal="center" wrapText="1" readingOrder="1"/>
    </xf>
    <xf numFmtId="0" fontId="43" fillId="0" borderId="36" xfId="0" applyFont="1" applyBorder="1" applyAlignment="1">
      <alignment horizontal="center" wrapText="1" readingOrder="1"/>
    </xf>
    <xf numFmtId="0" fontId="43" fillId="0" borderId="4" xfId="0" applyFont="1" applyBorder="1" applyAlignment="1">
      <alignment horizontal="center" wrapText="1" readingOrder="1"/>
    </xf>
    <xf numFmtId="2" fontId="10" fillId="0" borderId="0" xfId="0" applyNumberFormat="1" applyFont="1" applyAlignment="1">
      <alignment horizontal="center"/>
    </xf>
    <xf numFmtId="0" fontId="11" fillId="0" borderId="4" xfId="62" applyFont="1" applyBorder="1" applyAlignment="1">
      <alignment horizontal="center"/>
    </xf>
    <xf numFmtId="0" fontId="11" fillId="0" borderId="4" xfId="62" applyFont="1" applyBorder="1" applyAlignment="1">
      <alignment horizontal="center" wrapText="1"/>
    </xf>
    <xf numFmtId="170" fontId="10" fillId="0" borderId="4" xfId="14" applyNumberFormat="1" applyFont="1" applyBorder="1" applyAlignment="1">
      <alignment horizontal="center" vertical="center"/>
    </xf>
    <xf numFmtId="2" fontId="10" fillId="0" borderId="0" xfId="14" applyNumberFormat="1" applyFont="1" applyAlignment="1">
      <alignment horizontal="center" vertical="center"/>
    </xf>
    <xf numFmtId="0" fontId="11" fillId="0" borderId="4" xfId="16" applyFont="1" applyBorder="1" applyAlignment="1">
      <alignment horizontal="center" vertical="top" wrapText="1"/>
    </xf>
    <xf numFmtId="2" fontId="10" fillId="0" borderId="4" xfId="14" applyNumberFormat="1" applyFont="1" applyBorder="1" applyAlignment="1">
      <alignment horizontal="center" vertical="center"/>
    </xf>
    <xf numFmtId="2" fontId="11" fillId="0" borderId="4" xfId="14" applyNumberFormat="1" applyFont="1" applyBorder="1" applyAlignment="1">
      <alignment horizontal="center" vertical="center"/>
    </xf>
    <xf numFmtId="0" fontId="11" fillId="0" borderId="4" xfId="14" applyFont="1" applyBorder="1" applyAlignment="1">
      <alignment horizontal="center" vertical="center"/>
    </xf>
    <xf numFmtId="2" fontId="11" fillId="0" borderId="0" xfId="0" applyNumberFormat="1" applyFont="1" applyAlignment="1">
      <alignment horizontal="center"/>
    </xf>
    <xf numFmtId="2" fontId="10" fillId="0" borderId="0" xfId="10" applyNumberFormat="1" applyFont="1"/>
    <xf numFmtId="4" fontId="100" fillId="0" borderId="4" xfId="73" applyNumberFormat="1" applyFont="1" applyFill="1" applyBorder="1" applyAlignment="1">
      <alignment horizontal="center" vertical="center"/>
    </xf>
    <xf numFmtId="0" fontId="28" fillId="0" borderId="4" xfId="62" applyFont="1" applyBorder="1" applyAlignment="1">
      <alignment vertical="top" wrapText="1"/>
    </xf>
    <xf numFmtId="0" fontId="38" fillId="0" borderId="0" xfId="54" applyFont="1">
      <alignment vertical="center"/>
    </xf>
    <xf numFmtId="0" fontId="12" fillId="0" borderId="0" xfId="54" applyFont="1" applyAlignment="1">
      <alignment horizontal="center" vertical="center"/>
    </xf>
    <xf numFmtId="0" fontId="12" fillId="0" borderId="0" xfId="63" applyFont="1" applyAlignment="1">
      <alignment horizontal="left"/>
    </xf>
    <xf numFmtId="4" fontId="12" fillId="0" borderId="0" xfId="73" applyNumberFormat="1" applyFont="1" applyFill="1" applyBorder="1" applyAlignment="1">
      <alignment horizontal="center" vertical="center"/>
    </xf>
    <xf numFmtId="2" fontId="49" fillId="0" borderId="0" xfId="63" applyNumberFormat="1" applyFont="1" applyAlignment="1">
      <alignment horizontal="left"/>
    </xf>
    <xf numFmtId="0" fontId="38" fillId="0" borderId="0" xfId="63" applyFont="1" applyAlignment="1">
      <alignment horizontal="left"/>
    </xf>
    <xf numFmtId="4" fontId="38" fillId="0" borderId="0" xfId="73" applyNumberFormat="1" applyFont="1" applyFill="1" applyBorder="1" applyAlignment="1">
      <alignment horizontal="center" vertical="center"/>
    </xf>
    <xf numFmtId="0" fontId="12" fillId="0" borderId="0" xfId="63" applyFont="1"/>
    <xf numFmtId="0" fontId="0" fillId="0" borderId="4" xfId="0" applyBorder="1" applyAlignment="1">
      <alignment vertical="top" wrapText="1"/>
    </xf>
    <xf numFmtId="0" fontId="12" fillId="0" borderId="4" xfId="0" applyFont="1" applyBorder="1" applyAlignment="1">
      <alignment vertical="center" wrapText="1"/>
    </xf>
    <xf numFmtId="0" fontId="0" fillId="0" borderId="4" xfId="0" applyBorder="1" applyAlignment="1">
      <alignment horizontal="left" vertical="center" wrapText="1"/>
    </xf>
    <xf numFmtId="0" fontId="0" fillId="0" borderId="4" xfId="0" applyBorder="1" applyAlignment="1">
      <alignment vertical="center"/>
    </xf>
    <xf numFmtId="0" fontId="12" fillId="0" borderId="4" xfId="0" applyFont="1" applyBorder="1" applyAlignment="1">
      <alignment vertical="center"/>
    </xf>
    <xf numFmtId="0" fontId="10" fillId="0" borderId="4" xfId="0" applyFont="1" applyBorder="1" applyAlignment="1">
      <alignment horizontal="left" vertical="center" wrapText="1"/>
    </xf>
    <xf numFmtId="0" fontId="12" fillId="0" borderId="4" xfId="194" applyFont="1" applyBorder="1" applyAlignment="1">
      <alignment horizontal="left" vertical="center" wrapText="1"/>
    </xf>
    <xf numFmtId="0" fontId="10" fillId="0" borderId="9" xfId="53" applyFont="1" applyBorder="1"/>
    <xf numFmtId="0" fontId="0" fillId="0" borderId="4" xfId="0" applyBorder="1"/>
    <xf numFmtId="10" fontId="10" fillId="8" borderId="4" xfId="74" applyNumberFormat="1" applyFont="1" applyFill="1" applyBorder="1"/>
    <xf numFmtId="178" fontId="10" fillId="0" borderId="0" xfId="74" applyNumberFormat="1" applyFont="1"/>
    <xf numFmtId="2" fontId="10" fillId="0" borderId="4" xfId="53" applyNumberFormat="1" applyFont="1" applyBorder="1"/>
    <xf numFmtId="0" fontId="2" fillId="0" borderId="0" xfId="237"/>
    <xf numFmtId="2" fontId="2" fillId="0" borderId="0" xfId="237" applyNumberFormat="1"/>
    <xf numFmtId="0" fontId="101" fillId="51" borderId="4" xfId="237" applyFont="1" applyFill="1" applyBorder="1"/>
    <xf numFmtId="0" fontId="2" fillId="0" borderId="4" xfId="237" applyBorder="1"/>
    <xf numFmtId="2" fontId="2" fillId="0" borderId="4" xfId="237" applyNumberFormat="1" applyBorder="1"/>
    <xf numFmtId="0" fontId="2" fillId="52" borderId="0" xfId="237" applyFill="1"/>
    <xf numFmtId="9" fontId="0" fillId="52" borderId="0" xfId="238" applyFont="1" applyFill="1"/>
    <xf numFmtId="2" fontId="10" fillId="5" borderId="4" xfId="73" applyNumberFormat="1" applyFont="1" applyFill="1" applyBorder="1" applyAlignment="1">
      <alignment horizontal="left"/>
    </xf>
    <xf numFmtId="2" fontId="11" fillId="0" borderId="4" xfId="15" applyNumberFormat="1" applyFont="1" applyBorder="1">
      <alignment vertical="center"/>
    </xf>
    <xf numFmtId="2" fontId="10" fillId="5" borderId="4" xfId="10" quotePrefix="1" applyNumberFormat="1" applyFont="1" applyFill="1" applyBorder="1" applyAlignment="1">
      <alignment horizontal="left" vertical="top" wrapText="1"/>
    </xf>
    <xf numFmtId="0" fontId="12" fillId="0" borderId="4" xfId="63" applyFont="1" applyBorder="1" applyAlignment="1">
      <alignment horizontal="left" vertical="center"/>
    </xf>
    <xf numFmtId="0" fontId="102" fillId="0" borderId="0" xfId="0" applyFont="1"/>
    <xf numFmtId="0" fontId="11" fillId="4" borderId="6" xfId="54" applyFont="1" applyFill="1" applyBorder="1" applyAlignment="1">
      <alignment horizontal="center" vertical="center" wrapText="1"/>
    </xf>
    <xf numFmtId="164" fontId="10" fillId="0" borderId="0" xfId="54" applyNumberFormat="1" applyFont="1">
      <alignment vertical="center"/>
    </xf>
    <xf numFmtId="0" fontId="11" fillId="0" borderId="0" xfId="167" applyFont="1" applyAlignment="1">
      <alignment horizontal="center"/>
    </xf>
    <xf numFmtId="0" fontId="10" fillId="0" borderId="0" xfId="54" applyFont="1" applyAlignment="1">
      <alignment horizontal="centerContinuous" vertical="center"/>
    </xf>
    <xf numFmtId="0" fontId="11" fillId="0" borderId="0" xfId="167" applyFont="1" applyAlignment="1">
      <alignment horizontal="center" vertical="top"/>
    </xf>
    <xf numFmtId="0" fontId="10" fillId="0" borderId="0" xfId="62" applyFont="1" applyAlignment="1">
      <alignment horizontal="centerContinuous"/>
    </xf>
    <xf numFmtId="0" fontId="10" fillId="0" borderId="0" xfId="62" applyFont="1" applyAlignment="1">
      <alignment horizontal="center"/>
    </xf>
    <xf numFmtId="0" fontId="11" fillId="0" borderId="0" xfId="54" applyFont="1" applyAlignment="1">
      <alignment horizontal="left" vertical="center"/>
    </xf>
    <xf numFmtId="0" fontId="10" fillId="6" borderId="0" xfId="62" applyFont="1" applyFill="1" applyAlignment="1">
      <alignment horizontal="centerContinuous"/>
    </xf>
    <xf numFmtId="0" fontId="11" fillId="6" borderId="0" xfId="54" applyFont="1" applyFill="1" applyAlignment="1">
      <alignment horizontal="center" vertical="center" wrapText="1"/>
    </xf>
    <xf numFmtId="0" fontId="10" fillId="5" borderId="4" xfId="62" applyFont="1" applyFill="1" applyBorder="1" applyAlignment="1">
      <alignment horizontal="left"/>
    </xf>
    <xf numFmtId="164" fontId="10" fillId="0" borderId="4" xfId="141" applyFont="1" applyBorder="1" applyAlignment="1">
      <alignment vertical="center"/>
    </xf>
    <xf numFmtId="10" fontId="10" fillId="0" borderId="4" xfId="54" applyNumberFormat="1" applyFont="1" applyBorder="1">
      <alignment vertical="center"/>
    </xf>
    <xf numFmtId="0" fontId="11" fillId="0" borderId="4" xfId="54" applyFont="1" applyBorder="1" applyAlignment="1">
      <alignment horizontal="center" vertical="center"/>
    </xf>
    <xf numFmtId="0" fontId="11" fillId="5" borderId="4" xfId="62" applyFont="1" applyFill="1" applyBorder="1" applyAlignment="1">
      <alignment horizontal="left"/>
    </xf>
    <xf numFmtId="164" fontId="11" fillId="0" borderId="4" xfId="141" applyFont="1" applyBorder="1" applyAlignment="1">
      <alignment vertical="center"/>
    </xf>
    <xf numFmtId="0" fontId="10" fillId="9" borderId="4" xfId="54" applyFont="1" applyFill="1" applyBorder="1" applyAlignment="1">
      <alignment horizontal="center" vertical="center"/>
    </xf>
    <xf numFmtId="0" fontId="10" fillId="9" borderId="4" xfId="54" applyFont="1" applyFill="1" applyBorder="1">
      <alignment vertical="center"/>
    </xf>
    <xf numFmtId="2" fontId="10" fillId="0" borderId="4" xfId="54" applyNumberFormat="1" applyFont="1" applyBorder="1">
      <alignment vertical="center"/>
    </xf>
    <xf numFmtId="43" fontId="10" fillId="0" borderId="4" xfId="54" applyNumberFormat="1" applyFont="1" applyBorder="1">
      <alignment vertical="center"/>
    </xf>
    <xf numFmtId="0" fontId="11" fillId="0" borderId="4" xfId="54" applyFont="1" applyBorder="1">
      <alignment vertical="center"/>
    </xf>
    <xf numFmtId="0" fontId="10" fillId="5" borderId="4" xfId="62" quotePrefix="1" applyFont="1" applyFill="1" applyBorder="1" applyAlignment="1">
      <alignment horizontal="left" vertical="top" wrapText="1"/>
    </xf>
    <xf numFmtId="0" fontId="10" fillId="5" borderId="0" xfId="62" quotePrefix="1" applyFont="1" applyFill="1" applyAlignment="1">
      <alignment horizontal="left" vertical="top" wrapText="1"/>
    </xf>
    <xf numFmtId="0" fontId="10" fillId="5" borderId="0" xfId="62" applyFont="1" applyFill="1" applyAlignment="1">
      <alignment horizontal="left" vertical="top" wrapText="1"/>
    </xf>
    <xf numFmtId="0" fontId="10" fillId="7" borderId="4" xfId="54" applyFont="1" applyFill="1" applyBorder="1" applyAlignment="1">
      <alignment horizontal="center" vertical="center"/>
    </xf>
    <xf numFmtId="0" fontId="10" fillId="7" borderId="4" xfId="54" applyFont="1" applyFill="1" applyBorder="1">
      <alignment vertical="center"/>
    </xf>
    <xf numFmtId="0" fontId="10" fillId="0" borderId="4" xfId="53" applyFont="1" applyBorder="1" applyAlignment="1">
      <alignment horizontal="center"/>
    </xf>
    <xf numFmtId="0" fontId="10" fillId="0" borderId="5" xfId="53" applyFont="1" applyBorder="1" applyAlignment="1">
      <alignment horizontal="center"/>
    </xf>
    <xf numFmtId="0" fontId="10" fillId="8" borderId="4" xfId="53" applyFont="1" applyFill="1" applyBorder="1" applyAlignment="1">
      <alignment horizontal="center"/>
    </xf>
    <xf numFmtId="0" fontId="10" fillId="6" borderId="0" xfId="53" applyFont="1" applyFill="1" applyAlignment="1">
      <alignment horizontal="center"/>
    </xf>
    <xf numFmtId="164" fontId="10" fillId="6" borderId="0" xfId="54" applyNumberFormat="1" applyFont="1" applyFill="1">
      <alignment vertical="center"/>
    </xf>
    <xf numFmtId="4" fontId="10" fillId="0" borderId="4" xfId="53" applyNumberFormat="1" applyFont="1" applyBorder="1"/>
    <xf numFmtId="9" fontId="11" fillId="0" borderId="0" xfId="74" applyFont="1" applyFill="1" applyBorder="1" applyAlignment="1">
      <alignment vertical="center" wrapText="1"/>
    </xf>
    <xf numFmtId="2" fontId="11" fillId="0" borderId="4" xfId="10" applyNumberFormat="1" applyFont="1" applyBorder="1" applyAlignment="1">
      <alignment horizontal="center" vertical="center"/>
    </xf>
    <xf numFmtId="2" fontId="11" fillId="0" borderId="4" xfId="62" applyNumberFormat="1" applyFont="1" applyBorder="1"/>
    <xf numFmtId="164" fontId="10" fillId="0" borderId="4" xfId="14" applyNumberFormat="1" applyFont="1" applyBorder="1">
      <alignment vertical="center"/>
    </xf>
    <xf numFmtId="164" fontId="10" fillId="53" borderId="4" xfId="141" applyFont="1" applyFill="1" applyBorder="1" applyAlignment="1">
      <alignment vertical="center"/>
    </xf>
    <xf numFmtId="0" fontId="10" fillId="0" borderId="0" xfId="15" applyFont="1" applyAlignment="1">
      <alignment horizontal="left" vertical="center"/>
    </xf>
    <xf numFmtId="164" fontId="10" fillId="0" borderId="0" xfId="73" applyFont="1" applyBorder="1" applyAlignment="1">
      <alignment vertical="center"/>
    </xf>
    <xf numFmtId="2" fontId="10" fillId="0" borderId="0" xfId="73" applyNumberFormat="1" applyFont="1" applyBorder="1"/>
    <xf numFmtId="4" fontId="49" fillId="0" borderId="4" xfId="75" applyNumberFormat="1" applyFont="1" applyBorder="1" applyAlignment="1">
      <alignment horizontal="center" vertical="center"/>
    </xf>
    <xf numFmtId="4" fontId="12" fillId="0" borderId="4" xfId="63" applyNumberFormat="1" applyFont="1" applyBorder="1" applyAlignment="1">
      <alignment horizontal="center" vertical="center"/>
    </xf>
    <xf numFmtId="4" fontId="12" fillId="0" borderId="4" xfId="63" applyNumberFormat="1" applyFont="1" applyBorder="1" applyAlignment="1">
      <alignment horizontal="center" vertical="center" wrapText="1"/>
    </xf>
    <xf numFmtId="4" fontId="49" fillId="0" borderId="4" xfId="76" applyNumberFormat="1" applyFont="1" applyBorder="1" applyAlignment="1">
      <alignment horizontal="center" vertical="center"/>
    </xf>
    <xf numFmtId="4" fontId="49" fillId="0" borderId="4" xfId="77" applyNumberFormat="1" applyFont="1" applyBorder="1" applyAlignment="1">
      <alignment horizontal="center" vertical="center"/>
    </xf>
    <xf numFmtId="4" fontId="49" fillId="0" borderId="4" xfId="78" applyNumberFormat="1" applyFont="1" applyBorder="1" applyAlignment="1">
      <alignment horizontal="center" vertical="center"/>
    </xf>
    <xf numFmtId="4" fontId="49" fillId="0" borderId="4" xfId="63" applyNumberFormat="1" applyFont="1" applyBorder="1" applyAlignment="1">
      <alignment horizontal="center" vertical="center"/>
    </xf>
    <xf numFmtId="4" fontId="49" fillId="0" borderId="4" xfId="0" applyNumberFormat="1" applyFont="1" applyBorder="1" applyAlignment="1">
      <alignment horizontal="center" vertical="center"/>
    </xf>
    <xf numFmtId="4" fontId="49" fillId="0" borderId="4" xfId="79" applyNumberFormat="1" applyFont="1" applyBorder="1" applyAlignment="1">
      <alignment horizontal="center" vertical="center"/>
    </xf>
    <xf numFmtId="4" fontId="12" fillId="0" borderId="4" xfId="73" applyNumberFormat="1" applyFont="1" applyFill="1" applyBorder="1" applyAlignment="1">
      <alignment horizontal="center" vertical="center" wrapText="1"/>
    </xf>
    <xf numFmtId="4" fontId="38" fillId="0" borderId="4" xfId="63" applyNumberFormat="1" applyFont="1" applyBorder="1" applyAlignment="1">
      <alignment horizontal="center" vertical="center"/>
    </xf>
    <xf numFmtId="4" fontId="38" fillId="0" borderId="4" xfId="54" applyNumberFormat="1" applyFont="1" applyBorder="1" applyAlignment="1">
      <alignment horizontal="center" vertical="center"/>
    </xf>
    <xf numFmtId="0" fontId="12" fillId="0" borderId="4" xfId="63" quotePrefix="1" applyFont="1" applyBorder="1" applyAlignment="1">
      <alignment horizontal="left" vertical="center"/>
    </xf>
    <xf numFmtId="0" fontId="38" fillId="0" borderId="4" xfId="63" applyFont="1" applyBorder="1" applyAlignment="1">
      <alignment horizontal="left" vertical="center"/>
    </xf>
    <xf numFmtId="4" fontId="12" fillId="0" borderId="4" xfId="54" applyNumberFormat="1" applyFont="1" applyBorder="1" applyAlignment="1">
      <alignment horizontal="left" vertical="center" wrapText="1"/>
    </xf>
    <xf numFmtId="4" fontId="49" fillId="0" borderId="4" xfId="75" applyNumberFormat="1" applyFont="1" applyBorder="1" applyAlignment="1">
      <alignment horizontal="left" vertical="center" wrapText="1"/>
    </xf>
    <xf numFmtId="4" fontId="12" fillId="0" borderId="4" xfId="63" applyNumberFormat="1" applyFont="1" applyBorder="1" applyAlignment="1">
      <alignment horizontal="left" vertical="center" wrapText="1"/>
    </xf>
    <xf numFmtId="4" fontId="49" fillId="0" borderId="4" xfId="76" applyNumberFormat="1" applyFont="1" applyBorder="1" applyAlignment="1">
      <alignment horizontal="left" vertical="center" wrapText="1"/>
    </xf>
    <xf numFmtId="4" fontId="49" fillId="0" borderId="4" xfId="77" applyNumberFormat="1" applyFont="1" applyBorder="1" applyAlignment="1">
      <alignment horizontal="left" vertical="center" wrapText="1"/>
    </xf>
    <xf numFmtId="4" fontId="49" fillId="0" borderId="4" xfId="78" applyNumberFormat="1" applyFont="1" applyBorder="1" applyAlignment="1">
      <alignment horizontal="left" vertical="center" wrapText="1"/>
    </xf>
    <xf numFmtId="4" fontId="49" fillId="0" borderId="4" xfId="0" applyNumberFormat="1" applyFont="1" applyBorder="1" applyAlignment="1">
      <alignment horizontal="left" vertical="center" wrapText="1"/>
    </xf>
    <xf numFmtId="4" fontId="49" fillId="0" borderId="4" xfId="79" applyNumberFormat="1" applyFont="1" applyBorder="1" applyAlignment="1">
      <alignment horizontal="left" vertical="center" wrapText="1"/>
    </xf>
    <xf numFmtId="4" fontId="38" fillId="0" borderId="4" xfId="63" applyNumberFormat="1" applyFont="1" applyBorder="1" applyAlignment="1">
      <alignment horizontal="center" vertical="center" wrapText="1"/>
    </xf>
    <xf numFmtId="4" fontId="12" fillId="0" borderId="4" xfId="54" applyNumberFormat="1" applyFont="1" applyBorder="1" applyAlignment="1">
      <alignment horizontal="center" vertical="center" wrapText="1"/>
    </xf>
    <xf numFmtId="4" fontId="38" fillId="0" borderId="4" xfId="54" applyNumberFormat="1" applyFont="1" applyBorder="1" applyAlignment="1">
      <alignment horizontal="center" vertical="center" wrapText="1"/>
    </xf>
    <xf numFmtId="4" fontId="12" fillId="18" borderId="4" xfId="0" applyNumberFormat="1" applyFont="1" applyFill="1" applyBorder="1" applyAlignment="1">
      <alignment horizontal="left" vertical="center" wrapText="1"/>
    </xf>
    <xf numFmtId="2" fontId="11" fillId="0" borderId="9" xfId="62" applyNumberFormat="1" applyFont="1" applyBorder="1" applyAlignment="1">
      <alignment horizontal="center" vertical="center"/>
    </xf>
    <xf numFmtId="2" fontId="10" fillId="5" borderId="4" xfId="10" applyNumberFormat="1" applyFont="1" applyFill="1" applyBorder="1" applyAlignment="1">
      <alignment horizontal="right"/>
    </xf>
    <xf numFmtId="0" fontId="10" fillId="0" borderId="0" xfId="15" applyFont="1" applyAlignment="1">
      <alignment horizontal="right" vertical="center"/>
    </xf>
    <xf numFmtId="2" fontId="10" fillId="0" borderId="6" xfId="0" applyNumberFormat="1" applyFont="1" applyBorder="1" applyAlignment="1">
      <alignment horizontal="center" vertical="center"/>
    </xf>
    <xf numFmtId="0" fontId="46" fillId="0" borderId="0" xfId="0" applyFont="1" applyAlignment="1">
      <alignment horizontal="left" vertical="center"/>
    </xf>
    <xf numFmtId="2" fontId="10" fillId="0" borderId="4" xfId="73" applyNumberFormat="1" applyFont="1" applyFill="1" applyBorder="1" applyAlignment="1">
      <alignment horizontal="left"/>
    </xf>
    <xf numFmtId="10" fontId="10" fillId="0" borderId="4" xfId="62" applyNumberFormat="1" applyFont="1" applyBorder="1" applyAlignment="1">
      <alignment horizontal="center"/>
    </xf>
    <xf numFmtId="4" fontId="10" fillId="0" borderId="9" xfId="0" applyNumberFormat="1" applyFont="1" applyBorder="1" applyAlignment="1">
      <alignment vertical="center" wrapText="1"/>
    </xf>
    <xf numFmtId="4" fontId="11" fillId="0" borderId="9" xfId="62" applyNumberFormat="1" applyFont="1" applyBorder="1" applyAlignment="1">
      <alignment wrapText="1"/>
    </xf>
    <xf numFmtId="4" fontId="29" fillId="0" borderId="4" xfId="62" applyNumberFormat="1" applyFont="1" applyBorder="1" applyAlignment="1">
      <alignment horizontal="center" vertical="center" wrapText="1"/>
    </xf>
    <xf numFmtId="10" fontId="10" fillId="0" borderId="4" xfId="74" applyNumberFormat="1" applyFont="1" applyBorder="1" applyAlignment="1">
      <alignment horizontal="center" vertical="center" wrapText="1"/>
    </xf>
    <xf numFmtId="9" fontId="11" fillId="0" borderId="4" xfId="74" applyFont="1" applyBorder="1" applyAlignment="1">
      <alignment horizontal="center" vertical="center"/>
    </xf>
    <xf numFmtId="0" fontId="1" fillId="0" borderId="4" xfId="237" applyFont="1" applyBorder="1"/>
    <xf numFmtId="2" fontId="2" fillId="52" borderId="4" xfId="237" applyNumberFormat="1" applyFill="1" applyBorder="1"/>
    <xf numFmtId="0" fontId="62" fillId="11" borderId="4" xfId="237" applyFont="1" applyFill="1" applyBorder="1"/>
    <xf numFmtId="0" fontId="104" fillId="0" borderId="0" xfId="237" applyFont="1"/>
    <xf numFmtId="0" fontId="2" fillId="0" borderId="4" xfId="237" applyBorder="1" applyAlignment="1">
      <alignment horizontal="left"/>
    </xf>
    <xf numFmtId="0" fontId="10" fillId="14" borderId="4" xfId="0" applyFont="1" applyFill="1" applyBorder="1" applyAlignment="1">
      <alignment vertical="top"/>
    </xf>
    <xf numFmtId="4" fontId="10" fillId="54" borderId="0" xfId="0" applyNumberFormat="1" applyFont="1" applyFill="1"/>
    <xf numFmtId="2" fontId="10" fillId="0" borderId="0" xfId="0" applyNumberFormat="1" applyFont="1"/>
    <xf numFmtId="173" fontId="10" fillId="0" borderId="0" xfId="0" applyNumberFormat="1" applyFont="1"/>
    <xf numFmtId="4" fontId="11" fillId="4" borderId="4" xfId="54" applyNumberFormat="1" applyFont="1" applyFill="1" applyBorder="1" applyAlignment="1">
      <alignment vertical="center" wrapText="1"/>
    </xf>
    <xf numFmtId="4" fontId="44" fillId="0" borderId="4" xfId="0" applyNumberFormat="1" applyFont="1" applyBorder="1" applyAlignment="1">
      <alignment horizontal="center" vertical="center"/>
    </xf>
    <xf numFmtId="4" fontId="43" fillId="0" borderId="4" xfId="0" applyNumberFormat="1" applyFont="1" applyBorder="1" applyAlignment="1">
      <alignment horizontal="center" vertical="center"/>
    </xf>
    <xf numFmtId="4" fontId="10" fillId="0" borderId="4" xfId="54" applyNumberFormat="1" applyFont="1" applyBorder="1" applyAlignment="1">
      <alignment horizontal="center" vertical="center" wrapText="1"/>
    </xf>
    <xf numFmtId="9" fontId="10" fillId="0" borderId="0" xfId="74" applyFont="1"/>
    <xf numFmtId="179" fontId="10" fillId="0" borderId="0" xfId="0" applyNumberFormat="1" applyFont="1"/>
    <xf numFmtId="10" fontId="10" fillId="0" borderId="4" xfId="74" applyNumberFormat="1" applyFont="1" applyBorder="1" applyAlignment="1">
      <alignment horizontal="center"/>
    </xf>
    <xf numFmtId="4" fontId="10" fillId="0" borderId="9" xfId="0" applyNumberFormat="1" applyFont="1" applyBorder="1" applyAlignment="1">
      <alignment horizontal="center" vertical="center" wrapText="1"/>
    </xf>
    <xf numFmtId="4" fontId="12" fillId="0" borderId="8" xfId="0" applyNumberFormat="1" applyFont="1" applyBorder="1" applyAlignment="1">
      <alignment horizontal="center"/>
    </xf>
    <xf numFmtId="4" fontId="38" fillId="0" borderId="8" xfId="0" applyNumberFormat="1" applyFont="1" applyBorder="1" applyAlignment="1">
      <alignment horizontal="center"/>
    </xf>
    <xf numFmtId="4" fontId="12" fillId="0" borderId="8" xfId="73" applyNumberFormat="1" applyFont="1" applyBorder="1" applyAlignment="1">
      <alignment horizontal="center" vertical="center"/>
    </xf>
    <xf numFmtId="4" fontId="11" fillId="18" borderId="4" xfId="0" applyNumberFormat="1" applyFont="1" applyFill="1" applyBorder="1"/>
    <xf numFmtId="9" fontId="1" fillId="0" borderId="0" xfId="74" applyFont="1"/>
    <xf numFmtId="0" fontId="11" fillId="0" borderId="0" xfId="14" applyFont="1" applyAlignment="1">
      <alignment horizontal="center" vertical="center"/>
    </xf>
    <xf numFmtId="0" fontId="11" fillId="0" borderId="0" xfId="0" applyFont="1" applyAlignment="1">
      <alignment horizontal="center" vertical="center" wrapText="1"/>
    </xf>
    <xf numFmtId="0" fontId="11" fillId="4" borderId="4" xfId="14" applyFont="1" applyFill="1" applyBorder="1" applyAlignment="1">
      <alignment horizontal="center" vertical="center" wrapText="1"/>
    </xf>
    <xf numFmtId="0" fontId="29" fillId="0" borderId="4" xfId="0" applyFont="1" applyBorder="1" applyAlignment="1">
      <alignment horizontal="center" vertical="center" wrapText="1"/>
    </xf>
    <xf numFmtId="0" fontId="11" fillId="4" borderId="4" xfId="14" applyFont="1" applyFill="1" applyBorder="1" applyAlignment="1">
      <alignment horizontal="center" vertical="center"/>
    </xf>
    <xf numFmtId="0" fontId="29" fillId="0" borderId="4" xfId="0" applyFont="1" applyBorder="1" applyAlignment="1">
      <alignment horizontal="center" vertical="center"/>
    </xf>
    <xf numFmtId="0" fontId="11" fillId="4" borderId="4" xfId="54" applyFont="1" applyFill="1" applyBorder="1" applyAlignment="1">
      <alignment horizontal="center" vertical="center" wrapText="1"/>
    </xf>
    <xf numFmtId="0" fontId="9" fillId="0" borderId="4" xfId="62" applyBorder="1" applyAlignment="1">
      <alignment horizontal="center" vertical="center" wrapText="1"/>
    </xf>
    <xf numFmtId="0" fontId="11" fillId="4" borderId="5" xfId="15" applyFont="1" applyFill="1" applyBorder="1" applyAlignment="1">
      <alignment horizontal="center" vertical="center" wrapText="1"/>
    </xf>
    <xf numFmtId="0" fontId="11" fillId="4" borderId="7" xfId="15" applyFont="1" applyFill="1" applyBorder="1" applyAlignment="1">
      <alignment horizontal="center" vertical="center" wrapText="1"/>
    </xf>
    <xf numFmtId="0" fontId="29" fillId="0" borderId="6" xfId="10" applyFont="1" applyBorder="1" applyAlignment="1">
      <alignment horizontal="center" vertical="center" wrapText="1"/>
    </xf>
    <xf numFmtId="0" fontId="11" fillId="4" borderId="4" xfId="15" applyFont="1" applyFill="1" applyBorder="1" applyAlignment="1">
      <alignment horizontal="center" vertical="center" wrapText="1"/>
    </xf>
    <xf numFmtId="0" fontId="29" fillId="0" borderId="4" xfId="10" applyFont="1" applyBorder="1" applyAlignment="1">
      <alignment horizontal="center" vertical="center" wrapText="1"/>
    </xf>
    <xf numFmtId="0" fontId="11" fillId="4" borderId="4" xfId="15" applyFont="1" applyFill="1" applyBorder="1" applyAlignment="1">
      <alignment horizontal="center" vertical="center"/>
    </xf>
    <xf numFmtId="0" fontId="29" fillId="0" borderId="4" xfId="10" applyFont="1" applyBorder="1" applyAlignment="1">
      <alignment horizontal="center" vertical="center"/>
    </xf>
    <xf numFmtId="0" fontId="10" fillId="0" borderId="4" xfId="62" applyFont="1" applyBorder="1" applyAlignment="1">
      <alignment horizontal="center" vertical="center" wrapText="1"/>
    </xf>
    <xf numFmtId="0" fontId="10" fillId="0" borderId="6" xfId="10" applyFont="1" applyBorder="1" applyAlignment="1">
      <alignment horizontal="center" vertical="center" wrapText="1"/>
    </xf>
    <xf numFmtId="0" fontId="10" fillId="0" borderId="4" xfId="10" applyFont="1" applyBorder="1" applyAlignment="1">
      <alignment horizontal="center" vertical="center"/>
    </xf>
    <xf numFmtId="0" fontId="11" fillId="7" borderId="4" xfId="62" applyFont="1" applyFill="1" applyBorder="1" applyAlignment="1">
      <alignment horizontal="center" vertical="center"/>
    </xf>
    <xf numFmtId="0" fontId="11" fillId="0" borderId="0" xfId="62" applyFont="1" applyAlignment="1">
      <alignment horizontal="left"/>
    </xf>
    <xf numFmtId="0" fontId="11" fillId="7" borderId="4" xfId="62" applyFont="1" applyFill="1" applyBorder="1" applyAlignment="1">
      <alignment horizontal="center" vertical="center" wrapText="1"/>
    </xf>
    <xf numFmtId="0" fontId="11" fillId="7" borderId="4" xfId="62" applyFont="1" applyFill="1" applyBorder="1" applyAlignment="1">
      <alignment horizontal="center" wrapText="1"/>
    </xf>
    <xf numFmtId="0" fontId="11" fillId="7" borderId="4" xfId="62" applyFont="1" applyFill="1" applyBorder="1" applyAlignment="1">
      <alignment horizontal="center"/>
    </xf>
    <xf numFmtId="0" fontId="11" fillId="7" borderId="4" xfId="10" applyFont="1" applyFill="1" applyBorder="1" applyAlignment="1">
      <alignment horizontal="center" vertical="center" wrapText="1"/>
    </xf>
    <xf numFmtId="0" fontId="11" fillId="7" borderId="9" xfId="62" applyFont="1" applyFill="1" applyBorder="1" applyAlignment="1">
      <alignment horizontal="center" vertical="center"/>
    </xf>
    <xf numFmtId="0" fontId="11" fillId="7" borderId="8" xfId="62" applyFont="1" applyFill="1" applyBorder="1" applyAlignment="1">
      <alignment horizontal="center" vertical="center"/>
    </xf>
    <xf numFmtId="0" fontId="38" fillId="4" borderId="5" xfId="54" applyFont="1" applyFill="1" applyBorder="1" applyAlignment="1">
      <alignment horizontal="center" vertical="center"/>
    </xf>
    <xf numFmtId="0" fontId="38" fillId="4" borderId="6" xfId="54" applyFont="1" applyFill="1" applyBorder="1" applyAlignment="1">
      <alignment horizontal="center" vertical="center"/>
    </xf>
    <xf numFmtId="0" fontId="38" fillId="4" borderId="5" xfId="54" applyFont="1" applyFill="1" applyBorder="1" applyAlignment="1">
      <alignment horizontal="center" vertical="center" wrapText="1"/>
    </xf>
    <xf numFmtId="0" fontId="38" fillId="4" borderId="7" xfId="54" applyFont="1" applyFill="1" applyBorder="1" applyAlignment="1">
      <alignment horizontal="center" vertical="center" wrapText="1"/>
    </xf>
    <xf numFmtId="0" fontId="38" fillId="4" borderId="4" xfId="54" applyFont="1" applyFill="1" applyBorder="1" applyAlignment="1">
      <alignment horizontal="center" vertical="center"/>
    </xf>
    <xf numFmtId="0" fontId="38" fillId="4" borderId="6" xfId="54" applyFont="1" applyFill="1" applyBorder="1" applyAlignment="1">
      <alignment horizontal="center" vertical="center" wrapText="1"/>
    </xf>
    <xf numFmtId="0" fontId="38" fillId="4" borderId="10" xfId="54" applyFont="1" applyFill="1" applyBorder="1" applyAlignment="1">
      <alignment horizontal="center" vertical="center"/>
    </xf>
    <xf numFmtId="0" fontId="38" fillId="4" borderId="34" xfId="54" applyFont="1" applyFill="1" applyBorder="1" applyAlignment="1">
      <alignment horizontal="center" vertical="center"/>
    </xf>
    <xf numFmtId="0" fontId="38" fillId="50" borderId="4" xfId="0" applyFont="1" applyFill="1" applyBorder="1" applyAlignment="1">
      <alignment horizontal="center" vertical="center" wrapText="1"/>
    </xf>
    <xf numFmtId="0" fontId="38" fillId="50" borderId="4" xfId="0" applyFont="1" applyFill="1" applyBorder="1" applyAlignment="1">
      <alignment horizontal="center" vertical="center"/>
    </xf>
    <xf numFmtId="0" fontId="90" fillId="7" borderId="4" xfId="0" applyFont="1" applyFill="1" applyBorder="1" applyAlignment="1">
      <alignment horizontal="center"/>
    </xf>
    <xf numFmtId="0" fontId="38" fillId="7" borderId="4" xfId="0" applyFont="1" applyFill="1" applyBorder="1" applyAlignment="1">
      <alignment horizontal="center" vertical="center" wrapText="1"/>
    </xf>
    <xf numFmtId="0" fontId="38" fillId="50" borderId="8" xfId="0" applyFont="1" applyFill="1" applyBorder="1" applyAlignment="1">
      <alignment horizontal="center" vertical="center" wrapText="1"/>
    </xf>
    <xf numFmtId="0" fontId="38" fillId="4" borderId="11" xfId="54" applyFont="1" applyFill="1" applyBorder="1" applyAlignment="1">
      <alignment horizontal="center" vertical="center" wrapText="1"/>
    </xf>
    <xf numFmtId="0" fontId="38" fillId="4" borderId="37" xfId="54" applyFont="1" applyFill="1" applyBorder="1" applyAlignment="1">
      <alignment horizontal="center" vertical="center" wrapText="1"/>
    </xf>
    <xf numFmtId="0" fontId="38" fillId="4" borderId="12" xfId="54" applyFont="1" applyFill="1" applyBorder="1" applyAlignment="1">
      <alignment horizontal="center" vertical="center"/>
    </xf>
    <xf numFmtId="0" fontId="38" fillId="4" borderId="0" xfId="54" applyFont="1" applyFill="1" applyAlignment="1">
      <alignment horizontal="center" vertical="center"/>
    </xf>
    <xf numFmtId="0" fontId="38" fillId="4" borderId="11" xfId="54" applyFont="1" applyFill="1" applyBorder="1" applyAlignment="1">
      <alignment horizontal="center" vertical="center"/>
    </xf>
    <xf numFmtId="0" fontId="38" fillId="4" borderId="38" xfId="54" applyFont="1" applyFill="1" applyBorder="1" applyAlignment="1">
      <alignment horizontal="center" vertical="center"/>
    </xf>
    <xf numFmtId="0" fontId="38" fillId="4" borderId="4" xfId="54" applyFont="1" applyFill="1" applyBorder="1" applyAlignment="1">
      <alignment horizontal="center" vertical="center" wrapText="1"/>
    </xf>
    <xf numFmtId="0" fontId="11" fillId="4" borderId="5" xfId="54" applyFont="1" applyFill="1" applyBorder="1" applyAlignment="1">
      <alignment horizontal="center" vertical="center" wrapText="1"/>
    </xf>
    <xf numFmtId="0" fontId="11" fillId="4" borderId="7" xfId="54" applyFont="1" applyFill="1" applyBorder="1" applyAlignment="1">
      <alignment horizontal="center" vertical="center" wrapText="1"/>
    </xf>
    <xf numFmtId="0" fontId="29" fillId="0" borderId="6" xfId="53" applyFont="1" applyBorder="1" applyAlignment="1">
      <alignment horizontal="center" vertical="center" wrapText="1"/>
    </xf>
    <xf numFmtId="0" fontId="11" fillId="4" borderId="4" xfId="54" applyFont="1" applyFill="1" applyBorder="1" applyAlignment="1">
      <alignment horizontal="center" vertical="center"/>
    </xf>
    <xf numFmtId="0" fontId="29" fillId="0" borderId="4" xfId="53" applyFont="1" applyBorder="1" applyAlignment="1">
      <alignment horizontal="center" vertical="center"/>
    </xf>
    <xf numFmtId="0" fontId="11" fillId="4" borderId="9" xfId="53" applyFont="1" applyFill="1" applyBorder="1" applyAlignment="1">
      <alignment horizontal="center" vertical="center" wrapText="1"/>
    </xf>
    <xf numFmtId="0" fontId="11" fillId="4" borderId="3" xfId="53" applyFont="1" applyFill="1" applyBorder="1" applyAlignment="1">
      <alignment horizontal="center" vertical="center" wrapText="1"/>
    </xf>
    <xf numFmtId="0" fontId="11" fillId="4" borderId="8" xfId="53" applyFont="1" applyFill="1" applyBorder="1" applyAlignment="1">
      <alignment horizontal="center" vertical="center" wrapText="1"/>
    </xf>
    <xf numFmtId="0" fontId="11" fillId="4" borderId="5" xfId="53" applyFont="1" applyFill="1" applyBorder="1" applyAlignment="1">
      <alignment horizontal="left" vertical="center" wrapText="1"/>
    </xf>
    <xf numFmtId="0" fontId="11" fillId="4" borderId="7" xfId="53" applyFont="1" applyFill="1" applyBorder="1" applyAlignment="1">
      <alignment horizontal="left" vertical="center" wrapText="1"/>
    </xf>
    <xf numFmtId="0" fontId="11" fillId="4" borderId="6" xfId="53" applyFont="1" applyFill="1" applyBorder="1" applyAlignment="1">
      <alignment horizontal="left" vertical="center" wrapText="1"/>
    </xf>
    <xf numFmtId="0" fontId="11" fillId="4" borderId="4" xfId="53" applyFont="1" applyFill="1" applyBorder="1" applyAlignment="1">
      <alignment horizontal="center" vertical="center" wrapText="1"/>
    </xf>
    <xf numFmtId="0" fontId="11" fillId="4" borderId="5" xfId="53" applyFont="1" applyFill="1" applyBorder="1" applyAlignment="1">
      <alignment horizontal="center" vertical="center" wrapText="1"/>
    </xf>
    <xf numFmtId="0" fontId="11" fillId="4" borderId="6" xfId="53" applyFont="1" applyFill="1" applyBorder="1" applyAlignment="1">
      <alignment horizontal="center" vertical="center" wrapText="1"/>
    </xf>
    <xf numFmtId="0" fontId="29" fillId="0" borderId="4" xfId="53" applyFont="1" applyBorder="1" applyAlignment="1">
      <alignment horizontal="center" vertical="center" wrapText="1"/>
    </xf>
    <xf numFmtId="0" fontId="11" fillId="4" borderId="7" xfId="53" applyFont="1" applyFill="1" applyBorder="1" applyAlignment="1">
      <alignment horizontal="center" vertical="center" wrapText="1"/>
    </xf>
    <xf numFmtId="0" fontId="11" fillId="4" borderId="5" xfId="53" applyFont="1" applyFill="1" applyBorder="1" applyAlignment="1">
      <alignment horizontal="center" vertical="center"/>
    </xf>
    <xf numFmtId="0" fontId="11" fillId="4" borderId="6" xfId="53" applyFont="1" applyFill="1" applyBorder="1" applyAlignment="1">
      <alignment horizontal="center" vertical="center"/>
    </xf>
    <xf numFmtId="0" fontId="13" fillId="4" borderId="9" xfId="62" applyFont="1" applyFill="1" applyBorder="1" applyAlignment="1">
      <alignment horizontal="center" vertical="center" wrapText="1"/>
    </xf>
    <xf numFmtId="0" fontId="13" fillId="4" borderId="3" xfId="62" applyFont="1" applyFill="1" applyBorder="1" applyAlignment="1">
      <alignment horizontal="center" vertical="center" wrapText="1"/>
    </xf>
    <xf numFmtId="0" fontId="13" fillId="4" borderId="8" xfId="62" applyFont="1" applyFill="1" applyBorder="1" applyAlignment="1">
      <alignment horizontal="center" vertical="center" wrapText="1"/>
    </xf>
    <xf numFmtId="0" fontId="11" fillId="4" borderId="12" xfId="53" applyFont="1" applyFill="1" applyBorder="1" applyAlignment="1">
      <alignment horizontal="center" vertical="center" wrapText="1"/>
    </xf>
    <xf numFmtId="0" fontId="11" fillId="4" borderId="11" xfId="53" applyFont="1" applyFill="1" applyBorder="1" applyAlignment="1">
      <alignment horizontal="center" vertical="center" wrapText="1"/>
    </xf>
    <xf numFmtId="0" fontId="11" fillId="4" borderId="4" xfId="62" applyFont="1" applyFill="1" applyBorder="1" applyAlignment="1">
      <alignment horizontal="center" vertical="center" wrapText="1"/>
    </xf>
    <xf numFmtId="0" fontId="11" fillId="4" borderId="5" xfId="62" applyFont="1" applyFill="1" applyBorder="1" applyAlignment="1">
      <alignment horizontal="center" vertical="center" wrapText="1"/>
    </xf>
    <xf numFmtId="0" fontId="11" fillId="4" borderId="6" xfId="62" applyFont="1" applyFill="1" applyBorder="1" applyAlignment="1">
      <alignment horizontal="center" vertical="center" wrapText="1"/>
    </xf>
    <xf numFmtId="0" fontId="11" fillId="0" borderId="0" xfId="53" applyFont="1" applyAlignment="1">
      <alignment horizontal="center" vertical="center" wrapText="1"/>
    </xf>
    <xf numFmtId="0" fontId="11" fillId="4" borderId="4" xfId="62" applyFont="1" applyFill="1" applyBorder="1" applyAlignment="1">
      <alignment horizontal="center" wrapText="1"/>
    </xf>
    <xf numFmtId="0" fontId="29" fillId="0" borderId="4" xfId="62" applyFont="1" applyBorder="1" applyAlignment="1">
      <alignment horizontal="center" wrapText="1"/>
    </xf>
    <xf numFmtId="2" fontId="11" fillId="4" borderId="4" xfId="62" applyNumberFormat="1" applyFont="1" applyFill="1" applyBorder="1" applyAlignment="1">
      <alignment horizontal="center" vertical="center" wrapText="1"/>
    </xf>
    <xf numFmtId="0" fontId="9" fillId="0" borderId="4" xfId="62" applyBorder="1" applyAlignment="1">
      <alignment horizontal="center" wrapText="1"/>
    </xf>
    <xf numFmtId="2" fontId="11" fillId="4" borderId="4" xfId="62" applyNumberFormat="1" applyFont="1" applyFill="1" applyBorder="1" applyAlignment="1">
      <alignment horizontal="center" wrapText="1"/>
    </xf>
    <xf numFmtId="2" fontId="9" fillId="0" borderId="4" xfId="62" applyNumberFormat="1" applyBorder="1" applyAlignment="1">
      <alignment horizontal="center" wrapText="1"/>
    </xf>
    <xf numFmtId="0" fontId="10" fillId="6" borderId="0" xfId="54" applyFont="1" applyFill="1" applyAlignment="1">
      <alignment horizontal="left" vertical="center"/>
    </xf>
    <xf numFmtId="4" fontId="11" fillId="4" borderId="4" xfId="62" applyNumberFormat="1" applyFont="1" applyFill="1" applyBorder="1" applyAlignment="1">
      <alignment horizontal="center" vertical="center" wrapText="1"/>
    </xf>
    <xf numFmtId="4" fontId="11" fillId="4" borderId="4" xfId="62" applyNumberFormat="1" applyFont="1" applyFill="1" applyBorder="1" applyAlignment="1">
      <alignment horizontal="center" wrapText="1"/>
    </xf>
    <xf numFmtId="4" fontId="29" fillId="0" borderId="4" xfId="62" applyNumberFormat="1" applyFont="1" applyBorder="1" applyAlignment="1">
      <alignment horizontal="center" wrapText="1"/>
    </xf>
    <xf numFmtId="4" fontId="9" fillId="0" borderId="4" xfId="62" applyNumberFormat="1" applyBorder="1" applyAlignment="1">
      <alignment horizontal="center" wrapText="1"/>
    </xf>
    <xf numFmtId="4" fontId="10" fillId="6" borderId="0" xfId="54" applyNumberFormat="1" applyFont="1" applyFill="1" applyAlignment="1">
      <alignment horizontal="left" vertical="center"/>
    </xf>
    <xf numFmtId="0" fontId="11" fillId="4" borderId="9" xfId="54" applyFont="1" applyFill="1" applyBorder="1" applyAlignment="1">
      <alignment horizontal="center" vertical="center" wrapText="1"/>
    </xf>
    <xf numFmtId="0" fontId="11" fillId="4" borderId="3" xfId="54" applyFont="1" applyFill="1" applyBorder="1" applyAlignment="1">
      <alignment horizontal="center" vertical="center" wrapText="1"/>
    </xf>
    <xf numFmtId="0" fontId="11" fillId="4" borderId="8" xfId="54" applyFont="1" applyFill="1" applyBorder="1" applyAlignment="1">
      <alignment horizontal="center" vertical="center" wrapText="1"/>
    </xf>
    <xf numFmtId="0" fontId="11" fillId="4" borderId="6" xfId="54" applyFont="1" applyFill="1" applyBorder="1" applyAlignment="1">
      <alignment horizontal="center" vertical="center" wrapText="1"/>
    </xf>
    <xf numFmtId="0" fontId="11" fillId="4" borderId="5" xfId="10" applyFont="1" applyFill="1" applyBorder="1" applyAlignment="1">
      <alignment horizontal="center" vertical="center" wrapText="1"/>
    </xf>
    <xf numFmtId="0" fontId="11" fillId="4" borderId="6" xfId="10" applyFont="1" applyFill="1" applyBorder="1" applyAlignment="1">
      <alignment horizontal="center" vertical="center" wrapText="1"/>
    </xf>
    <xf numFmtId="0" fontId="11" fillId="4" borderId="9" xfId="54" applyFont="1" applyFill="1" applyBorder="1" applyAlignment="1">
      <alignment horizontal="center" vertical="center"/>
    </xf>
    <xf numFmtId="0" fontId="11" fillId="4" borderId="3" xfId="54" applyFont="1" applyFill="1" applyBorder="1" applyAlignment="1">
      <alignment horizontal="center" vertical="center"/>
    </xf>
    <xf numFmtId="0" fontId="11" fillId="4" borderId="8" xfId="54" applyFont="1" applyFill="1" applyBorder="1" applyAlignment="1">
      <alignment horizontal="center" vertical="center"/>
    </xf>
    <xf numFmtId="0" fontId="10" fillId="5" borderId="0" xfId="10" applyFont="1" applyFill="1" applyAlignment="1">
      <alignment horizontal="left" vertical="top" wrapText="1"/>
    </xf>
    <xf numFmtId="0" fontId="11" fillId="4" borderId="6" xfId="15" applyFont="1" applyFill="1" applyBorder="1" applyAlignment="1">
      <alignment horizontal="center" vertical="center" wrapText="1"/>
    </xf>
    <xf numFmtId="0" fontId="43" fillId="0" borderId="0" xfId="54" applyFont="1" applyAlignment="1">
      <alignment horizontal="left" vertical="center" wrapText="1"/>
    </xf>
    <xf numFmtId="0" fontId="10" fillId="0" borderId="0" xfId="54" applyFont="1" applyAlignment="1">
      <alignment horizontal="left" vertical="center" wrapText="1"/>
    </xf>
    <xf numFmtId="0" fontId="10" fillId="0" borderId="0" xfId="54" applyFont="1" applyAlignment="1">
      <alignment horizontal="left" vertical="center"/>
    </xf>
    <xf numFmtId="0" fontId="39" fillId="0" borderId="0" xfId="54" applyFont="1" applyAlignment="1">
      <alignment horizontal="center" vertical="center" wrapText="1"/>
    </xf>
    <xf numFmtId="0" fontId="12" fillId="0" borderId="4" xfId="0" applyFont="1" applyBorder="1" applyAlignment="1">
      <alignment horizontal="center" vertical="center"/>
    </xf>
    <xf numFmtId="0" fontId="12" fillId="0" borderId="4" xfId="62" applyFont="1" applyBorder="1" applyAlignment="1">
      <alignment horizontal="center" vertical="center" wrapText="1"/>
    </xf>
    <xf numFmtId="0" fontId="10" fillId="0" borderId="4" xfId="10" applyFont="1" applyBorder="1" applyAlignment="1">
      <alignment horizontal="center" vertical="center" wrapText="1"/>
    </xf>
    <xf numFmtId="4" fontId="10" fillId="0" borderId="4" xfId="0" applyNumberFormat="1" applyFont="1" applyBorder="1" applyAlignment="1">
      <alignment horizontal="center"/>
    </xf>
    <xf numFmtId="4" fontId="11" fillId="4" borderId="9" xfId="54" applyNumberFormat="1" applyFont="1" applyFill="1" applyBorder="1" applyAlignment="1">
      <alignment horizontal="center" vertical="center" wrapText="1"/>
    </xf>
    <xf numFmtId="4" fontId="11" fillId="4" borderId="3" xfId="54" applyNumberFormat="1" applyFont="1" applyFill="1" applyBorder="1" applyAlignment="1">
      <alignment horizontal="center" vertical="center" wrapText="1"/>
    </xf>
    <xf numFmtId="4" fontId="11" fillId="4" borderId="8" xfId="54" applyNumberFormat="1" applyFont="1" applyFill="1" applyBorder="1" applyAlignment="1">
      <alignment horizontal="center" vertical="center" wrapText="1"/>
    </xf>
    <xf numFmtId="4" fontId="11" fillId="4" borderId="4" xfId="54" applyNumberFormat="1" applyFont="1" applyFill="1" applyBorder="1" applyAlignment="1">
      <alignment horizontal="center" vertical="center" wrapText="1"/>
    </xf>
    <xf numFmtId="4" fontId="11" fillId="4" borderId="9" xfId="54" applyNumberFormat="1" applyFont="1" applyFill="1" applyBorder="1" applyAlignment="1">
      <alignment horizontal="center" vertical="center"/>
    </xf>
    <xf numFmtId="4" fontId="11" fillId="4" borderId="3" xfId="54" applyNumberFormat="1" applyFont="1" applyFill="1" applyBorder="1" applyAlignment="1">
      <alignment horizontal="center" vertical="center"/>
    </xf>
    <xf numFmtId="4" fontId="11" fillId="4" borderId="8" xfId="54" applyNumberFormat="1" applyFont="1" applyFill="1" applyBorder="1" applyAlignment="1">
      <alignment horizontal="center" vertical="center"/>
    </xf>
    <xf numFmtId="4" fontId="10" fillId="0" borderId="4" xfId="62" applyNumberFormat="1" applyFont="1" applyBorder="1" applyAlignment="1">
      <alignment horizontal="center" vertical="center" wrapText="1"/>
    </xf>
    <xf numFmtId="4" fontId="11" fillId="4" borderId="4" xfId="15" applyNumberFormat="1" applyFont="1" applyFill="1" applyBorder="1" applyAlignment="1">
      <alignment horizontal="center" vertical="center" wrapText="1"/>
    </xf>
    <xf numFmtId="4" fontId="10" fillId="0" borderId="4" xfId="10" applyNumberFormat="1" applyFont="1" applyBorder="1" applyAlignment="1">
      <alignment horizontal="center" vertical="center" wrapText="1"/>
    </xf>
    <xf numFmtId="4" fontId="43" fillId="0" borderId="20" xfId="0" applyNumberFormat="1" applyFont="1" applyBorder="1" applyAlignment="1">
      <alignment horizontal="center" vertical="center"/>
    </xf>
    <xf numFmtId="4" fontId="43" fillId="0" borderId="14" xfId="0" applyNumberFormat="1" applyFont="1" applyBorder="1" applyAlignment="1">
      <alignment horizontal="center" vertical="center"/>
    </xf>
    <xf numFmtId="0" fontId="101" fillId="51" borderId="4" xfId="237" applyFont="1" applyFill="1" applyBorder="1" applyAlignment="1">
      <alignment horizontal="center"/>
    </xf>
    <xf numFmtId="4" fontId="29" fillId="0" borderId="4" xfId="62" applyNumberFormat="1" applyFont="1" applyBorder="1" applyAlignment="1">
      <alignment horizontal="center" vertical="center" wrapText="1"/>
    </xf>
    <xf numFmtId="3" fontId="11" fillId="4" borderId="5" xfId="15" applyNumberFormat="1" applyFont="1" applyFill="1" applyBorder="1" applyAlignment="1">
      <alignment horizontal="center" vertical="center" wrapText="1"/>
    </xf>
    <xf numFmtId="3" fontId="11" fillId="4" borderId="5" xfId="54" applyNumberFormat="1" applyFont="1" applyFill="1" applyBorder="1" applyAlignment="1">
      <alignment horizontal="center" vertical="center" wrapText="1"/>
    </xf>
    <xf numFmtId="0" fontId="10" fillId="0" borderId="5" xfId="62" applyFont="1" applyBorder="1" applyAlignment="1">
      <alignment horizontal="center" vertical="center" wrapText="1"/>
    </xf>
    <xf numFmtId="0" fontId="10" fillId="0" borderId="7" xfId="62" applyFont="1" applyBorder="1" applyAlignment="1">
      <alignment horizontal="center" vertical="center" wrapText="1"/>
    </xf>
    <xf numFmtId="0" fontId="10" fillId="0" borderId="6" xfId="62" applyFont="1" applyBorder="1" applyAlignment="1">
      <alignment horizontal="center" vertical="center" wrapText="1"/>
    </xf>
    <xf numFmtId="0" fontId="40" fillId="11" borderId="5" xfId="66" applyFont="1" applyFill="1" applyBorder="1" applyAlignment="1">
      <alignment horizontal="center" vertical="center" wrapText="1"/>
    </xf>
    <xf numFmtId="0" fontId="40" fillId="11" borderId="6" xfId="66" applyFont="1" applyFill="1" applyBorder="1" applyAlignment="1">
      <alignment horizontal="center" vertical="center" wrapText="1"/>
    </xf>
    <xf numFmtId="0" fontId="41" fillId="11" borderId="10" xfId="66" applyFont="1" applyFill="1" applyBorder="1" applyAlignment="1">
      <alignment horizontal="center"/>
    </xf>
    <xf numFmtId="0" fontId="41" fillId="11" borderId="12" xfId="66" applyFont="1" applyFill="1" applyBorder="1" applyAlignment="1">
      <alignment horizontal="center"/>
    </xf>
    <xf numFmtId="0" fontId="41" fillId="11" borderId="11" xfId="66" applyFont="1" applyFill="1" applyBorder="1" applyAlignment="1">
      <alignment horizontal="center"/>
    </xf>
    <xf numFmtId="0" fontId="40" fillId="11" borderId="5" xfId="66" applyFont="1" applyFill="1" applyBorder="1" applyAlignment="1">
      <alignment horizontal="center" vertical="center"/>
    </xf>
    <xf numFmtId="0" fontId="40" fillId="11" borderId="6" xfId="66" applyFont="1" applyFill="1" applyBorder="1" applyAlignment="1">
      <alignment horizontal="center" vertical="center"/>
    </xf>
    <xf numFmtId="0" fontId="11" fillId="0" borderId="0" xfId="62" applyFont="1" applyAlignment="1">
      <alignment horizontal="center" vertical="center"/>
    </xf>
    <xf numFmtId="0" fontId="12" fillId="0" borderId="0" xfId="62" applyFont="1" applyAlignment="1">
      <alignment horizontal="center" vertical="center"/>
    </xf>
    <xf numFmtId="0" fontId="11" fillId="6" borderId="0" xfId="62" applyFont="1" applyFill="1" applyAlignment="1">
      <alignment horizontal="center" vertical="center"/>
    </xf>
    <xf numFmtId="0" fontId="12" fillId="6" borderId="0" xfId="62" applyFont="1" applyFill="1" applyAlignment="1">
      <alignment horizontal="center" vertical="center"/>
    </xf>
    <xf numFmtId="0" fontId="10" fillId="0" borderId="20" xfId="0" applyFont="1" applyBorder="1" applyAlignment="1">
      <alignment horizontal="center" vertical="center"/>
    </xf>
    <xf numFmtId="0" fontId="10" fillId="0" borderId="14" xfId="0" applyFont="1" applyBorder="1" applyAlignment="1">
      <alignment horizontal="center" vertical="center"/>
    </xf>
    <xf numFmtId="0" fontId="43" fillId="0" borderId="20" xfId="0" applyFont="1" applyBorder="1" applyAlignment="1">
      <alignment horizontal="justify" vertical="top" wrapText="1"/>
    </xf>
    <xf numFmtId="0" fontId="43" fillId="0" borderId="14" xfId="0" applyFont="1" applyBorder="1" applyAlignment="1">
      <alignment horizontal="justify" vertical="top" wrapText="1"/>
    </xf>
    <xf numFmtId="0" fontId="10" fillId="0" borderId="20" xfId="0" applyFont="1" applyBorder="1" applyAlignment="1">
      <alignment vertical="top" wrapText="1"/>
    </xf>
    <xf numFmtId="0" fontId="10" fillId="0" borderId="14" xfId="0" applyFont="1" applyBorder="1" applyAlignment="1">
      <alignment vertical="top" wrapText="1"/>
    </xf>
    <xf numFmtId="0" fontId="44" fillId="16" borderId="18" xfId="0" applyFont="1" applyFill="1" applyBorder="1" applyAlignment="1">
      <alignment horizontal="center" wrapText="1"/>
    </xf>
    <xf numFmtId="0" fontId="44" fillId="16" borderId="19" xfId="0" applyFont="1" applyFill="1" applyBorder="1" applyAlignment="1">
      <alignment horizontal="center" wrapText="1"/>
    </xf>
    <xf numFmtId="0" fontId="44" fillId="16" borderId="17" xfId="0" applyFont="1" applyFill="1" applyBorder="1" applyAlignment="1">
      <alignment horizontal="center" wrapText="1"/>
    </xf>
    <xf numFmtId="0" fontId="10" fillId="0" borderId="15" xfId="0" applyFont="1" applyBorder="1" applyAlignment="1">
      <alignment horizontal="center" vertical="center"/>
    </xf>
    <xf numFmtId="0" fontId="10" fillId="0" borderId="15" xfId="0" applyFont="1" applyBorder="1" applyAlignment="1">
      <alignment vertical="top" wrapText="1"/>
    </xf>
    <xf numFmtId="0" fontId="10" fillId="0" borderId="22" xfId="0" applyFont="1" applyBorder="1" applyAlignment="1">
      <alignment horizontal="center" vertical="center" wrapText="1"/>
    </xf>
    <xf numFmtId="0" fontId="10" fillId="0" borderId="15" xfId="0" applyFont="1" applyBorder="1" applyAlignment="1">
      <alignment horizontal="center" vertical="center" wrapText="1"/>
    </xf>
    <xf numFmtId="0" fontId="44" fillId="17" borderId="21" xfId="0" applyFont="1" applyFill="1" applyBorder="1" applyAlignment="1">
      <alignment horizontal="center"/>
    </xf>
    <xf numFmtId="0" fontId="44" fillId="17" borderId="2" xfId="0" applyFont="1" applyFill="1" applyBorder="1" applyAlignment="1">
      <alignment horizontal="center"/>
    </xf>
    <xf numFmtId="0" fontId="44" fillId="17" borderId="13" xfId="0" applyFont="1" applyFill="1" applyBorder="1" applyAlignment="1">
      <alignment horizontal="center"/>
    </xf>
    <xf numFmtId="0" fontId="10" fillId="0" borderId="20" xfId="0" applyFont="1" applyBorder="1" applyAlignment="1">
      <alignment horizontal="center" vertical="center" wrapText="1"/>
    </xf>
    <xf numFmtId="0" fontId="10" fillId="0" borderId="20" xfId="0" applyFont="1" applyBorder="1" applyAlignment="1">
      <alignment horizontal="center"/>
    </xf>
    <xf numFmtId="0" fontId="10" fillId="0" borderId="15" xfId="0" applyFont="1" applyBorder="1" applyAlignment="1">
      <alignment horizontal="center"/>
    </xf>
    <xf numFmtId="0" fontId="10" fillId="0" borderId="14" xfId="0" applyFont="1" applyBorder="1" applyAlignment="1">
      <alignment horizontal="center"/>
    </xf>
    <xf numFmtId="0" fontId="11" fillId="0" borderId="22" xfId="0" applyFont="1" applyBorder="1" applyAlignment="1">
      <alignment horizontal="center"/>
    </xf>
    <xf numFmtId="0" fontId="11" fillId="0" borderId="14" xfId="0" applyFont="1" applyBorder="1" applyAlignment="1">
      <alignment horizontal="center"/>
    </xf>
    <xf numFmtId="0" fontId="11" fillId="0" borderId="20" xfId="0" applyFont="1" applyBorder="1" applyAlignment="1">
      <alignment horizontal="center"/>
    </xf>
    <xf numFmtId="0" fontId="10" fillId="0" borderId="5" xfId="54" applyFont="1" applyBorder="1" applyAlignment="1">
      <alignment horizontal="left" vertical="center" wrapText="1"/>
    </xf>
    <xf numFmtId="0" fontId="10" fillId="0" borderId="6" xfId="54"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9" fillId="0" borderId="4" xfId="0" applyFont="1" applyBorder="1" applyAlignment="1">
      <alignment horizontal="left" vertical="center" wrapText="1"/>
    </xf>
    <xf numFmtId="0" fontId="0" fillId="0" borderId="4" xfId="0" applyBorder="1" applyAlignment="1">
      <alignment horizontal="left" vertical="center"/>
    </xf>
  </cellXfs>
  <cellStyles count="239">
    <cellStyle name="20% - Accent1" xfId="211" builtinId="30" customBuiltin="1"/>
    <cellStyle name="20% - Accent1 2" xfId="81" xr:uid="{00000000-0005-0000-0000-000001000000}"/>
    <cellStyle name="20% - Accent1 3" xfId="82" xr:uid="{00000000-0005-0000-0000-000002000000}"/>
    <cellStyle name="20% - Accent2" xfId="214" builtinId="34" customBuiltin="1"/>
    <cellStyle name="20% - Accent2 2" xfId="83" xr:uid="{00000000-0005-0000-0000-000004000000}"/>
    <cellStyle name="20% - Accent2 3" xfId="84" xr:uid="{00000000-0005-0000-0000-000005000000}"/>
    <cellStyle name="20% - Accent3" xfId="217" builtinId="38" customBuiltin="1"/>
    <cellStyle name="20% - Accent3 2" xfId="85" xr:uid="{00000000-0005-0000-0000-000007000000}"/>
    <cellStyle name="20% - Accent3 3" xfId="86" xr:uid="{00000000-0005-0000-0000-000008000000}"/>
    <cellStyle name="20% - Accent4" xfId="220" builtinId="42" customBuiltin="1"/>
    <cellStyle name="20% - Accent4 2" xfId="87" xr:uid="{00000000-0005-0000-0000-00000A000000}"/>
    <cellStyle name="20% - Accent4 3" xfId="88" xr:uid="{00000000-0005-0000-0000-00000B000000}"/>
    <cellStyle name="20% - Accent5" xfId="223" builtinId="46" customBuiltin="1"/>
    <cellStyle name="20% - Accent5 2" xfId="89" xr:uid="{00000000-0005-0000-0000-00000D000000}"/>
    <cellStyle name="20% - Accent5 3" xfId="90" xr:uid="{00000000-0005-0000-0000-00000E000000}"/>
    <cellStyle name="20% - Accent6" xfId="226" builtinId="50" customBuiltin="1"/>
    <cellStyle name="20% - Accent6 2" xfId="91" xr:uid="{00000000-0005-0000-0000-000010000000}"/>
    <cellStyle name="20% - Accent6 3" xfId="92" xr:uid="{00000000-0005-0000-0000-000011000000}"/>
    <cellStyle name="40% - Accent1" xfId="212" builtinId="31" customBuiltin="1"/>
    <cellStyle name="40% - Accent1 2" xfId="93" xr:uid="{00000000-0005-0000-0000-000013000000}"/>
    <cellStyle name="40% - Accent1 3" xfId="94" xr:uid="{00000000-0005-0000-0000-000014000000}"/>
    <cellStyle name="40% - Accent2" xfId="215" builtinId="35" customBuiltin="1"/>
    <cellStyle name="40% - Accent2 2" xfId="95" xr:uid="{00000000-0005-0000-0000-000016000000}"/>
    <cellStyle name="40% - Accent2 3" xfId="96" xr:uid="{00000000-0005-0000-0000-000017000000}"/>
    <cellStyle name="40% - Accent3" xfId="218" builtinId="39" customBuiltin="1"/>
    <cellStyle name="40% - Accent3 2" xfId="97" xr:uid="{00000000-0005-0000-0000-000019000000}"/>
    <cellStyle name="40% - Accent3 3" xfId="98" xr:uid="{00000000-0005-0000-0000-00001A000000}"/>
    <cellStyle name="40% - Accent4" xfId="221" builtinId="43" customBuiltin="1"/>
    <cellStyle name="40% - Accent4 2" xfId="99" xr:uid="{00000000-0005-0000-0000-00001C000000}"/>
    <cellStyle name="40% - Accent4 3" xfId="100" xr:uid="{00000000-0005-0000-0000-00001D000000}"/>
    <cellStyle name="40% - Accent5" xfId="224" builtinId="47" customBuiltin="1"/>
    <cellStyle name="40% - Accent5 2" xfId="101" xr:uid="{00000000-0005-0000-0000-00001F000000}"/>
    <cellStyle name="40% - Accent5 3" xfId="102" xr:uid="{00000000-0005-0000-0000-000020000000}"/>
    <cellStyle name="40% - Accent6" xfId="227" builtinId="51" customBuiltin="1"/>
    <cellStyle name="40% - Accent6 2" xfId="103" xr:uid="{00000000-0005-0000-0000-000022000000}"/>
    <cellStyle name="40% - Accent6 3" xfId="104" xr:uid="{00000000-0005-0000-0000-000023000000}"/>
    <cellStyle name="60% - Accent1 2" xfId="105" xr:uid="{00000000-0005-0000-0000-000024000000}"/>
    <cellStyle name="60% - Accent1 3" xfId="106" xr:uid="{00000000-0005-0000-0000-000025000000}"/>
    <cellStyle name="60% - Accent1 4" xfId="107" xr:uid="{00000000-0005-0000-0000-000026000000}"/>
    <cellStyle name="60% - Accent2 2" xfId="108" xr:uid="{00000000-0005-0000-0000-000027000000}"/>
    <cellStyle name="60% - Accent2 3" xfId="109" xr:uid="{00000000-0005-0000-0000-000028000000}"/>
    <cellStyle name="60% - Accent2 4" xfId="110" xr:uid="{00000000-0005-0000-0000-000029000000}"/>
    <cellStyle name="60% - Accent3 2" xfId="111" xr:uid="{00000000-0005-0000-0000-00002A000000}"/>
    <cellStyle name="60% - Accent3 3" xfId="112" xr:uid="{00000000-0005-0000-0000-00002B000000}"/>
    <cellStyle name="60% - Accent3 4" xfId="113" xr:uid="{00000000-0005-0000-0000-00002C000000}"/>
    <cellStyle name="60% - Accent4 2" xfId="114" xr:uid="{00000000-0005-0000-0000-00002D000000}"/>
    <cellStyle name="60% - Accent4 3" xfId="115" xr:uid="{00000000-0005-0000-0000-00002E000000}"/>
    <cellStyle name="60% - Accent4 4" xfId="116" xr:uid="{00000000-0005-0000-0000-00002F000000}"/>
    <cellStyle name="60% - Accent5 2" xfId="117" xr:uid="{00000000-0005-0000-0000-000030000000}"/>
    <cellStyle name="60% - Accent5 3" xfId="118" xr:uid="{00000000-0005-0000-0000-000031000000}"/>
    <cellStyle name="60% - Accent5 4" xfId="119" xr:uid="{00000000-0005-0000-0000-000032000000}"/>
    <cellStyle name="60% - Accent6 2" xfId="120" xr:uid="{00000000-0005-0000-0000-000033000000}"/>
    <cellStyle name="60% - Accent6 3" xfId="121" xr:uid="{00000000-0005-0000-0000-000034000000}"/>
    <cellStyle name="60% - Accent6 4" xfId="122" xr:uid="{00000000-0005-0000-0000-000035000000}"/>
    <cellStyle name="Accent1" xfId="210" builtinId="29" customBuiltin="1"/>
    <cellStyle name="Accent1 2" xfId="123" xr:uid="{00000000-0005-0000-0000-000037000000}"/>
    <cellStyle name="Accent1 3" xfId="124" xr:uid="{00000000-0005-0000-0000-000038000000}"/>
    <cellStyle name="Accent2" xfId="213" builtinId="33" customBuiltin="1"/>
    <cellStyle name="Accent2 2" xfId="125" xr:uid="{00000000-0005-0000-0000-00003A000000}"/>
    <cellStyle name="Accent2 3" xfId="126" xr:uid="{00000000-0005-0000-0000-00003B000000}"/>
    <cellStyle name="Accent3" xfId="216" builtinId="37" customBuiltin="1"/>
    <cellStyle name="Accent3 2" xfId="127" xr:uid="{00000000-0005-0000-0000-00003D000000}"/>
    <cellStyle name="Accent3 3" xfId="128" xr:uid="{00000000-0005-0000-0000-00003E000000}"/>
    <cellStyle name="Accent4" xfId="219" builtinId="41" customBuiltin="1"/>
    <cellStyle name="Accent4 2" xfId="129" xr:uid="{00000000-0005-0000-0000-000040000000}"/>
    <cellStyle name="Accent4 3" xfId="130" xr:uid="{00000000-0005-0000-0000-000041000000}"/>
    <cellStyle name="Accent5" xfId="222" builtinId="45" customBuiltin="1"/>
    <cellStyle name="Accent5 2" xfId="131" xr:uid="{00000000-0005-0000-0000-000043000000}"/>
    <cellStyle name="Accent5 3" xfId="132" xr:uid="{00000000-0005-0000-0000-000044000000}"/>
    <cellStyle name="Accent6" xfId="225" builtinId="49" customBuiltin="1"/>
    <cellStyle name="Accent6 2" xfId="133" xr:uid="{00000000-0005-0000-0000-000046000000}"/>
    <cellStyle name="Accent6 3" xfId="134" xr:uid="{00000000-0005-0000-0000-000047000000}"/>
    <cellStyle name="Bad" xfId="201" builtinId="27" customBuiltin="1"/>
    <cellStyle name="Bad 2" xfId="135" xr:uid="{00000000-0005-0000-0000-000049000000}"/>
    <cellStyle name="Bad 3" xfId="136" xr:uid="{00000000-0005-0000-0000-00004A000000}"/>
    <cellStyle name="Body" xfId="1" xr:uid="{00000000-0005-0000-0000-00004B000000}"/>
    <cellStyle name="Calculation" xfId="204" builtinId="22" customBuiltin="1"/>
    <cellStyle name="Calculation 2" xfId="137" xr:uid="{00000000-0005-0000-0000-00004D000000}"/>
    <cellStyle name="Calculation 3" xfId="138" xr:uid="{00000000-0005-0000-0000-00004E000000}"/>
    <cellStyle name="Check Cell" xfId="206" builtinId="23" customBuiltin="1"/>
    <cellStyle name="Check Cell 2" xfId="139" xr:uid="{00000000-0005-0000-0000-000050000000}"/>
    <cellStyle name="Check Cell 3" xfId="140" xr:uid="{00000000-0005-0000-0000-000051000000}"/>
    <cellStyle name="Comma" xfId="73" builtinId="3"/>
    <cellStyle name="Comma  - Style1" xfId="2" xr:uid="{00000000-0005-0000-0000-000053000000}"/>
    <cellStyle name="Comma 10" xfId="141" xr:uid="{00000000-0005-0000-0000-000054000000}"/>
    <cellStyle name="Comma 11" xfId="183" xr:uid="{00000000-0005-0000-0000-000055000000}"/>
    <cellStyle name="Comma 11 2" xfId="23" xr:uid="{00000000-0005-0000-0000-000056000000}"/>
    <cellStyle name="Comma 11 2 2" xfId="72" xr:uid="{00000000-0005-0000-0000-000057000000}"/>
    <cellStyle name="Comma 12" xfId="185" xr:uid="{00000000-0005-0000-0000-000058000000}"/>
    <cellStyle name="Comma 13" xfId="187" xr:uid="{00000000-0005-0000-0000-000059000000}"/>
    <cellStyle name="Comma 14" xfId="189" xr:uid="{00000000-0005-0000-0000-00005A000000}"/>
    <cellStyle name="Comma 15" xfId="191" xr:uid="{00000000-0005-0000-0000-00005B000000}"/>
    <cellStyle name="Comma 16" xfId="229" xr:uid="{00000000-0005-0000-0000-00005C000000}"/>
    <cellStyle name="Comma 17" xfId="230" xr:uid="{00000000-0005-0000-0000-00005D000000}"/>
    <cellStyle name="Comma 18" xfId="236" xr:uid="{00000000-0005-0000-0000-00005E000000}"/>
    <cellStyle name="Comma 19" xfId="235" xr:uid="{00000000-0005-0000-0000-00005F000000}"/>
    <cellStyle name="Comma 2" xfId="25" xr:uid="{00000000-0005-0000-0000-000060000000}"/>
    <cellStyle name="Comma 2 2" xfId="26" xr:uid="{00000000-0005-0000-0000-000061000000}"/>
    <cellStyle name="Comma 2 2 2" xfId="68" xr:uid="{00000000-0005-0000-0000-000062000000}"/>
    <cellStyle name="Comma 2 3" xfId="27" xr:uid="{00000000-0005-0000-0000-000063000000}"/>
    <cellStyle name="Comma 2 4" xfId="61" xr:uid="{00000000-0005-0000-0000-000064000000}"/>
    <cellStyle name="Comma 2 5" xfId="142" xr:uid="{00000000-0005-0000-0000-000065000000}"/>
    <cellStyle name="Comma 2 5 2" xfId="143" xr:uid="{00000000-0005-0000-0000-000066000000}"/>
    <cellStyle name="Comma 2 6" xfId="144" xr:uid="{00000000-0005-0000-0000-000067000000}"/>
    <cellStyle name="Comma 3" xfId="28" xr:uid="{00000000-0005-0000-0000-000068000000}"/>
    <cellStyle name="Comma 3 2" xfId="67" xr:uid="{00000000-0005-0000-0000-000069000000}"/>
    <cellStyle name="Comma 3 3" xfId="145" xr:uid="{00000000-0005-0000-0000-00006A000000}"/>
    <cellStyle name="Comma 4" xfId="29" xr:uid="{00000000-0005-0000-0000-00006B000000}"/>
    <cellStyle name="Comma 4 2" xfId="69" xr:uid="{00000000-0005-0000-0000-00006C000000}"/>
    <cellStyle name="Comma 5" xfId="30" xr:uid="{00000000-0005-0000-0000-00006D000000}"/>
    <cellStyle name="Comma 6" xfId="31" xr:uid="{00000000-0005-0000-0000-00006E000000}"/>
    <cellStyle name="Comma 6 2" xfId="55" xr:uid="{00000000-0005-0000-0000-00006F000000}"/>
    <cellStyle name="Comma 6 3" xfId="56" xr:uid="{00000000-0005-0000-0000-000070000000}"/>
    <cellStyle name="Comma 6 4" xfId="57" xr:uid="{00000000-0005-0000-0000-000071000000}"/>
    <cellStyle name="Comma 61" xfId="146" xr:uid="{00000000-0005-0000-0000-000072000000}"/>
    <cellStyle name="Comma 7" xfId="32" xr:uid="{00000000-0005-0000-0000-000073000000}"/>
    <cellStyle name="Comma 8" xfId="70" xr:uid="{00000000-0005-0000-0000-000074000000}"/>
    <cellStyle name="Comma 9" xfId="147" xr:uid="{00000000-0005-0000-0000-000075000000}"/>
    <cellStyle name="Curren - Style2" xfId="3" xr:uid="{00000000-0005-0000-0000-000076000000}"/>
    <cellStyle name="Explanatory Text" xfId="208" builtinId="53" customBuiltin="1"/>
    <cellStyle name="Explanatory Text 2" xfId="148" xr:uid="{00000000-0005-0000-0000-000078000000}"/>
    <cellStyle name="Explanatory Text 3" xfId="149" xr:uid="{00000000-0005-0000-0000-000079000000}"/>
    <cellStyle name="Good" xfId="200" builtinId="26" customBuiltin="1"/>
    <cellStyle name="Good 2" xfId="150" xr:uid="{00000000-0005-0000-0000-00007B000000}"/>
    <cellStyle name="Good 3" xfId="151" xr:uid="{00000000-0005-0000-0000-00007C000000}"/>
    <cellStyle name="Grey" xfId="4" xr:uid="{00000000-0005-0000-0000-00007D000000}"/>
    <cellStyle name="Header1" xfId="5" xr:uid="{00000000-0005-0000-0000-00007E000000}"/>
    <cellStyle name="Header2" xfId="6" xr:uid="{00000000-0005-0000-0000-00007F000000}"/>
    <cellStyle name="Heading 1" xfId="196" builtinId="16" customBuiltin="1"/>
    <cellStyle name="Heading 1 2" xfId="152" xr:uid="{00000000-0005-0000-0000-000081000000}"/>
    <cellStyle name="Heading 1 3" xfId="153" xr:uid="{00000000-0005-0000-0000-000082000000}"/>
    <cellStyle name="Heading 2" xfId="197" builtinId="17" customBuiltin="1"/>
    <cellStyle name="Heading 2 2" xfId="154" xr:uid="{00000000-0005-0000-0000-000084000000}"/>
    <cellStyle name="Heading 2 3" xfId="155" xr:uid="{00000000-0005-0000-0000-000085000000}"/>
    <cellStyle name="Heading 3" xfId="198" builtinId="18" customBuiltin="1"/>
    <cellStyle name="Heading 3 2" xfId="156" xr:uid="{00000000-0005-0000-0000-000087000000}"/>
    <cellStyle name="Heading 3 3" xfId="157" xr:uid="{00000000-0005-0000-0000-000088000000}"/>
    <cellStyle name="Heading 4" xfId="199" builtinId="19" customBuiltin="1"/>
    <cellStyle name="Heading 4 2" xfId="158" xr:uid="{00000000-0005-0000-0000-00008A000000}"/>
    <cellStyle name="Heading 4 3" xfId="159" xr:uid="{00000000-0005-0000-0000-00008B000000}"/>
    <cellStyle name="Input" xfId="202" builtinId="20" customBuiltin="1"/>
    <cellStyle name="Input [yellow]" xfId="7" xr:uid="{00000000-0005-0000-0000-00008D000000}"/>
    <cellStyle name="Input 2" xfId="160" xr:uid="{00000000-0005-0000-0000-00008E000000}"/>
    <cellStyle name="Input 3" xfId="161" xr:uid="{00000000-0005-0000-0000-00008F000000}"/>
    <cellStyle name="Linked Cell" xfId="205" builtinId="24" customBuiltin="1"/>
    <cellStyle name="Linked Cell 2" xfId="162" xr:uid="{00000000-0005-0000-0000-000091000000}"/>
    <cellStyle name="Linked Cell 3" xfId="163" xr:uid="{00000000-0005-0000-0000-000092000000}"/>
    <cellStyle name="Neutral 2" xfId="164" xr:uid="{00000000-0005-0000-0000-000093000000}"/>
    <cellStyle name="Neutral 3" xfId="165" xr:uid="{00000000-0005-0000-0000-000094000000}"/>
    <cellStyle name="Neutral 4" xfId="166" xr:uid="{00000000-0005-0000-0000-000095000000}"/>
    <cellStyle name="no dec" xfId="8" xr:uid="{00000000-0005-0000-0000-000096000000}"/>
    <cellStyle name="Normal" xfId="0" builtinId="0"/>
    <cellStyle name="Normal - Style1" xfId="9" xr:uid="{00000000-0005-0000-0000-000098000000}"/>
    <cellStyle name="Normal 10" xfId="167" xr:uid="{00000000-0005-0000-0000-000099000000}"/>
    <cellStyle name="Normal 11" xfId="168" xr:uid="{00000000-0005-0000-0000-00009A000000}"/>
    <cellStyle name="Normal 12" xfId="184" xr:uid="{00000000-0005-0000-0000-00009B000000}"/>
    <cellStyle name="Normal 13" xfId="186" xr:uid="{00000000-0005-0000-0000-00009C000000}"/>
    <cellStyle name="Normal 14" xfId="188" xr:uid="{00000000-0005-0000-0000-00009D000000}"/>
    <cellStyle name="Normal 15" xfId="22" xr:uid="{00000000-0005-0000-0000-00009E000000}"/>
    <cellStyle name="Normal 15 2" xfId="71" xr:uid="{00000000-0005-0000-0000-00009F000000}"/>
    <cellStyle name="Normal 16" xfId="190" xr:uid="{00000000-0005-0000-0000-0000A0000000}"/>
    <cellStyle name="Normal 17" xfId="192" xr:uid="{00000000-0005-0000-0000-0000A1000000}"/>
    <cellStyle name="Normal 18" xfId="66" xr:uid="{00000000-0005-0000-0000-0000A2000000}"/>
    <cellStyle name="Normal 19" xfId="193" xr:uid="{00000000-0005-0000-0000-0000A3000000}"/>
    <cellStyle name="Normal 2" xfId="10" xr:uid="{00000000-0005-0000-0000-0000A4000000}"/>
    <cellStyle name="Normal 2 2" xfId="11" xr:uid="{00000000-0005-0000-0000-0000A5000000}"/>
    <cellStyle name="Normal 2 2 2" xfId="33" xr:uid="{00000000-0005-0000-0000-0000A6000000}"/>
    <cellStyle name="Normal 2 2 2 2" xfId="62" xr:uid="{00000000-0005-0000-0000-0000A7000000}"/>
    <cellStyle name="Normal 2 2_Working APR 2007-08 Mahagenco_Bhushan_1.3" xfId="34" xr:uid="{00000000-0005-0000-0000-0000A8000000}"/>
    <cellStyle name="Normal 2 3" xfId="12" xr:uid="{00000000-0005-0000-0000-0000A9000000}"/>
    <cellStyle name="Normal 2 3 2" xfId="169" xr:uid="{00000000-0005-0000-0000-0000AA000000}"/>
    <cellStyle name="Normal 2 4" xfId="53" xr:uid="{00000000-0005-0000-0000-0000AB000000}"/>
    <cellStyle name="Normal 2 4 2" xfId="170" xr:uid="{00000000-0005-0000-0000-0000AC000000}"/>
    <cellStyle name="Normal 2_ARR FINAL" xfId="35" xr:uid="{00000000-0005-0000-0000-0000AD000000}"/>
    <cellStyle name="Normal 20" xfId="228" xr:uid="{00000000-0005-0000-0000-0000AE000000}"/>
    <cellStyle name="Normal 21" xfId="234" xr:uid="{00000000-0005-0000-0000-0000AF000000}"/>
    <cellStyle name="Normal 22" xfId="231" xr:uid="{00000000-0005-0000-0000-0000B0000000}"/>
    <cellStyle name="Normal 23" xfId="232" xr:uid="{00000000-0005-0000-0000-0000B1000000}"/>
    <cellStyle name="Normal 24" xfId="237" xr:uid="{00000000-0005-0000-0000-0000B2000000}"/>
    <cellStyle name="Normal 3" xfId="13" xr:uid="{00000000-0005-0000-0000-0000B3000000}"/>
    <cellStyle name="Normal 3 2" xfId="36" xr:uid="{00000000-0005-0000-0000-0000B4000000}"/>
    <cellStyle name="Normal 3 2 2" xfId="63" xr:uid="{00000000-0005-0000-0000-0000B5000000}"/>
    <cellStyle name="Normal 31" xfId="80" xr:uid="{00000000-0005-0000-0000-0000B6000000}"/>
    <cellStyle name="Normal 33" xfId="194" xr:uid="{00000000-0005-0000-0000-0000B7000000}"/>
    <cellStyle name="Normal 34" xfId="75" xr:uid="{00000000-0005-0000-0000-0000B8000000}"/>
    <cellStyle name="Normal 35" xfId="76" xr:uid="{00000000-0005-0000-0000-0000B9000000}"/>
    <cellStyle name="Normal 36" xfId="77" xr:uid="{00000000-0005-0000-0000-0000BA000000}"/>
    <cellStyle name="Normal 37" xfId="78" xr:uid="{00000000-0005-0000-0000-0000BB000000}"/>
    <cellStyle name="Normal 39" xfId="37" xr:uid="{00000000-0005-0000-0000-0000BC000000}"/>
    <cellStyle name="Normal 4" xfId="38" xr:uid="{00000000-0005-0000-0000-0000BD000000}"/>
    <cellStyle name="Normal 4 2" xfId="64" xr:uid="{00000000-0005-0000-0000-0000BE000000}"/>
    <cellStyle name="Normal 40" xfId="79" xr:uid="{00000000-0005-0000-0000-0000BF000000}"/>
    <cellStyle name="Normal 5" xfId="39" xr:uid="{00000000-0005-0000-0000-0000C0000000}"/>
    <cellStyle name="Normal 5 2" xfId="40" xr:uid="{00000000-0005-0000-0000-0000C1000000}"/>
    <cellStyle name="Normal 6" xfId="41" xr:uid="{00000000-0005-0000-0000-0000C2000000}"/>
    <cellStyle name="Normal 7" xfId="42" xr:uid="{00000000-0005-0000-0000-0000C3000000}"/>
    <cellStyle name="Normal 8" xfId="58" xr:uid="{00000000-0005-0000-0000-0000C4000000}"/>
    <cellStyle name="Normal 9" xfId="59" xr:uid="{00000000-0005-0000-0000-0000C5000000}"/>
    <cellStyle name="Normal_FORMATS 5 YEAR ALOKE" xfId="14" xr:uid="{00000000-0005-0000-0000-0000C6000000}"/>
    <cellStyle name="Normal_FORMATS 5 YEAR ALOKE 2" xfId="15" xr:uid="{00000000-0005-0000-0000-0000C7000000}"/>
    <cellStyle name="Normal_FORMATS 5 YEAR ALOKE 2 2" xfId="54" xr:uid="{00000000-0005-0000-0000-0000C8000000}"/>
    <cellStyle name="Normal_FORMATS 5 YEAR ALOKE 3" xfId="16" xr:uid="{00000000-0005-0000-0000-0000C9000000}"/>
    <cellStyle name="Normal_FORMATS 5 YEAR ALOKE 3 2" xfId="17" xr:uid="{00000000-0005-0000-0000-0000CA000000}"/>
    <cellStyle name="Normal_FORMATS 5 YEAR ALOKE 3 2 2" xfId="60" xr:uid="{00000000-0005-0000-0000-0000CB000000}"/>
    <cellStyle name="Note 2" xfId="171" xr:uid="{00000000-0005-0000-0000-0000CC000000}"/>
    <cellStyle name="Note 3" xfId="172" xr:uid="{00000000-0005-0000-0000-0000CD000000}"/>
    <cellStyle name="Note 4" xfId="233" xr:uid="{00000000-0005-0000-0000-0000CE000000}"/>
    <cellStyle name="Output" xfId="203" builtinId="21" customBuiltin="1"/>
    <cellStyle name="Output 2" xfId="173" xr:uid="{00000000-0005-0000-0000-0000D0000000}"/>
    <cellStyle name="Output 3" xfId="174" xr:uid="{00000000-0005-0000-0000-0000D1000000}"/>
    <cellStyle name="Percent" xfId="74" builtinId="5"/>
    <cellStyle name="Percent [0]_#6 Temps &amp; Contractors" xfId="18" xr:uid="{00000000-0005-0000-0000-0000D3000000}"/>
    <cellStyle name="Percent [2]" xfId="19" xr:uid="{00000000-0005-0000-0000-0000D4000000}"/>
    <cellStyle name="Percent 2" xfId="43" xr:uid="{00000000-0005-0000-0000-0000D5000000}"/>
    <cellStyle name="Percent 2 2" xfId="44" xr:uid="{00000000-0005-0000-0000-0000D6000000}"/>
    <cellStyle name="Percent 2 3" xfId="65" xr:uid="{00000000-0005-0000-0000-0000D7000000}"/>
    <cellStyle name="Percent 2 4" xfId="175" xr:uid="{00000000-0005-0000-0000-0000D8000000}"/>
    <cellStyle name="Percent 3" xfId="45" xr:uid="{00000000-0005-0000-0000-0000D9000000}"/>
    <cellStyle name="Percent 3 2" xfId="46" xr:uid="{00000000-0005-0000-0000-0000DA000000}"/>
    <cellStyle name="Percent 4" xfId="47" xr:uid="{00000000-0005-0000-0000-0000DB000000}"/>
    <cellStyle name="Percent 41" xfId="24" xr:uid="{00000000-0005-0000-0000-0000DC000000}"/>
    <cellStyle name="Percent 5" xfId="48" xr:uid="{00000000-0005-0000-0000-0000DD000000}"/>
    <cellStyle name="Percent 5 2" xfId="49" xr:uid="{00000000-0005-0000-0000-0000DE000000}"/>
    <cellStyle name="Percent 5 3" xfId="50" xr:uid="{00000000-0005-0000-0000-0000DF000000}"/>
    <cellStyle name="Percent 6" xfId="51" xr:uid="{00000000-0005-0000-0000-0000E0000000}"/>
    <cellStyle name="Percent 6 2" xfId="52" xr:uid="{00000000-0005-0000-0000-0000E1000000}"/>
    <cellStyle name="Percent 7" xfId="238" xr:uid="{00000000-0005-0000-0000-0000E2000000}"/>
    <cellStyle name="Style 1" xfId="20" xr:uid="{00000000-0005-0000-0000-0000E3000000}"/>
    <cellStyle name="Style 2" xfId="21" xr:uid="{00000000-0005-0000-0000-0000E4000000}"/>
    <cellStyle name="Title" xfId="195" builtinId="15" customBuiltin="1"/>
    <cellStyle name="Title 2" xfId="176" xr:uid="{00000000-0005-0000-0000-0000E6000000}"/>
    <cellStyle name="Title 2 2" xfId="177" xr:uid="{00000000-0005-0000-0000-0000E7000000}"/>
    <cellStyle name="Title 2 3" xfId="178" xr:uid="{00000000-0005-0000-0000-0000E8000000}"/>
    <cellStyle name="Total" xfId="209" builtinId="25" customBuiltin="1"/>
    <cellStyle name="Total 2" xfId="179" xr:uid="{00000000-0005-0000-0000-0000EA000000}"/>
    <cellStyle name="Total 3" xfId="180" xr:uid="{00000000-0005-0000-0000-0000EB000000}"/>
    <cellStyle name="Warning Text" xfId="207" builtinId="11" customBuiltin="1"/>
    <cellStyle name="Warning Text 2" xfId="181" xr:uid="{00000000-0005-0000-0000-0000ED000000}"/>
    <cellStyle name="Warning Text 3" xfId="182" xr:uid="{00000000-0005-0000-0000-0000E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externalLink" Target="externalLinks/externalLink14.xml"/><Relationship Id="rId50" Type="http://schemas.openxmlformats.org/officeDocument/2006/relationships/externalLink" Target="externalLinks/externalLink17.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3" Type="http://schemas.openxmlformats.org/officeDocument/2006/relationships/sharedStrings" Target="sharedStrings.xml"/><Relationship Id="rId58" Type="http://schemas.openxmlformats.org/officeDocument/2006/relationships/customXml" Target="../customXml/item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externalLink" Target="externalLinks/externalLink15.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externalLink" Target="externalLinks/externalLink13.xml"/><Relationship Id="rId20" Type="http://schemas.openxmlformats.org/officeDocument/2006/relationships/worksheet" Target="worksheets/sheet20.xml"/><Relationship Id="rId41" Type="http://schemas.openxmlformats.org/officeDocument/2006/relationships/externalLink" Target="externalLinks/externalLink8.xml"/><Relationship Id="rId54"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49" Type="http://schemas.openxmlformats.org/officeDocument/2006/relationships/externalLink" Target="externalLinks/externalLink16.xml"/><Relationship Id="rId57"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1.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10</xdr:row>
      <xdr:rowOff>0</xdr:rowOff>
    </xdr:from>
    <xdr:to>
      <xdr:col>17</xdr:col>
      <xdr:colOff>535</xdr:colOff>
      <xdr:row>14</xdr:row>
      <xdr:rowOff>92874</xdr:rowOff>
    </xdr:to>
    <xdr:pic>
      <xdr:nvPicPr>
        <xdr:cNvPr id="2" name="Picture 1">
          <a:extLst>
            <a:ext uri="{FF2B5EF4-FFF2-40B4-BE49-F238E27FC236}">
              <a16:creationId xmlns:a16="http://schemas.microsoft.com/office/drawing/2014/main" id="{BA7FD938-54C7-3631-1045-563129D8E519}"/>
            </a:ext>
          </a:extLst>
        </xdr:cNvPr>
        <xdr:cNvPicPr>
          <a:picLocks noChangeAspect="1"/>
        </xdr:cNvPicPr>
      </xdr:nvPicPr>
      <xdr:blipFill>
        <a:blip xmlns:r="http://schemas.openxmlformats.org/officeDocument/2006/relationships" r:embed="rId1"/>
        <a:stretch>
          <a:fillRect/>
        </a:stretch>
      </xdr:blipFill>
      <xdr:spPr>
        <a:xfrm>
          <a:off x="14439900" y="1892300"/>
          <a:ext cx="4212701" cy="18899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04REL-F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server\Users\skedia\Desktop\MSPGCL%20Main%20Folder\Revised%20True-up%20&amp;%20APR\Workings\Annexure%202_revise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bank/1-Projects%20In%20Hand/DFID/ARR%202003-04/Arr%20Petition%202003-04/For%20Submission/ARR%20Forms%20For%20Submiss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pcdeloitte.sharepoint.com/Databank/1-Projects%20In%20Hand/DFID/ARR%202003-04/Arr%20Petition%202003-04/For%20Submission/ARR%20Forms%20For%20Submiss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er21\shared%20doc\ARR%202.6%20REV\Performance\PERFORMANCE\ocm\Yearly_perf\OCMJAN2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anurag/My%20Documents/petitions/Petition%20for%20trans%20ARR.doc/Databank/1-Projects%20In%20Hand/DFID/ARR%202003-04/Arr%20Petition%202003-04/For%20Submission/ARR%20Forms%20For%20Submiss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ameer's%20folder/MSEB/Tariff%20Filing%202003-04/Outputs/Models/Working%20Models/old/Dispatch%20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apcdeloitte.sharepoint.com/Sameer's%20folder/MSEB/Tariff%20Filing%202003-04/Outputs/Models/Working%20Models/old/Dispatch%20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Performance\PERFORMANCE\ocm\Yearly_perf\OCMJAN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ech1\EMAIL\Performance\PERFORMANCE\ocm\Yearly_perf\OCMJAN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RID%20Energy/Work/MSPGCL%20True%20Up%20Fy%202010-11/Earlier%20Orders/EXCEL%20MODELS%20FINAL/PwC_MSPGCL_20.12.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pcdeloitte.sharepoint.com/GRID%20Energy/Work/MSPGCL%20True%20Up%20Fy%202010-11/Earlier%20Orders/EXCEL%20MODELS%20FINAL/PwC_MSPGCL_20.12.20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server\btps%20temp%20data\EFFY\Effy-Cost%20DD\Yearly%20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erver\Users\skedia\Documents\MSPGCL%20FY12%20ARR%20Petition%20and%20Model%2031Mar11\ARR%20formats%20SM%2029Mar1940_ol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er126\perf\Performance\PERFORMANCE\CE_FILE\Erai_dam\Water%20_balance_Dec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4REL"/>
      <sheetName val="03-04|71"/>
      <sheetName val="03-04|72"/>
      <sheetName val="03-04|74"/>
      <sheetName val="03-04|75"/>
      <sheetName val="03-04|76"/>
      <sheetName val="03-04|77"/>
      <sheetName val="03-04|79"/>
      <sheetName val="03-04|83"/>
      <sheetName val="03-04|Master"/>
      <sheetName val="A 3.7"/>
      <sheetName val="CE"/>
      <sheetName val="201-04REL-Final"/>
      <sheetName val="A_3_7"/>
      <sheetName val="Metro consind updation sheet"/>
      <sheetName val="Dom"/>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
      <sheetName val="po-log - curr. rate"/>
      <sheetName val="teo model"/>
      <sheetName val="A_3_71"/>
      <sheetName val="Metro_consind_updation_sheet"/>
      <sheetName val="BD-Cons-FY_2017-18"/>
      <sheetName val="Cons-_FY_2018-19"/>
      <sheetName val="Cons-Existing-re_comp"/>
      <sheetName val="Re-computation_of_sales-19-_(2)"/>
      <sheetName val="LMV-10_working"/>
      <sheetName val="FY_2017-18_Revenue"/>
      <sheetName val="Discom_wise_Reveneue_FY_2017-18"/>
      <sheetName val="Re-computation_of_sales-19-20"/>
      <sheetName val="po-log_-_curr__rate"/>
      <sheetName val="teo_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mary"/>
      <sheetName val="BHUSAWAL"/>
      <sheetName val="F1(Bhu)"/>
      <sheetName val="F2.1(Bhu)"/>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Chandrapur"/>
      <sheetName val="F1(Cha)"/>
      <sheetName val="F2.1(Cha)"/>
      <sheetName val="F2.2(Cha)"/>
      <sheetName val="F2.3(Cha)"/>
      <sheetName val="F2.6(Cha)"/>
      <sheetName val="F3(Cha)"/>
      <sheetName val="F3.1(Cha)"/>
      <sheetName val="F3.2(Cha)"/>
      <sheetName val="F3.3(Cha)"/>
      <sheetName val="F4(Cha)"/>
      <sheetName val="F5(Cha)"/>
      <sheetName val="F5.1(Cha)"/>
      <sheetName val="F5.2(Cha)"/>
      <sheetName val="F5.3(Cha)"/>
      <sheetName val="F5.4(Cha)"/>
      <sheetName val="F6(Cha)"/>
      <sheetName val="F11(Cha)"/>
      <sheetName val="F12(Cha)"/>
      <sheetName val="Koradi"/>
      <sheetName val="F1(Kor)"/>
      <sheetName val="F2.1(Kor)"/>
      <sheetName val="F2.2(Kor)"/>
      <sheetName val="F2.3(Kor)"/>
      <sheetName val="F2.6(Kor)"/>
      <sheetName val="F3(Kor)"/>
      <sheetName val="F3.1(Kor)"/>
      <sheetName val="F3.2(Kor)"/>
      <sheetName val="F3.3(Kor)"/>
      <sheetName val="F4(Kor)"/>
      <sheetName val="F5(Kor)"/>
      <sheetName val="F5.1(Kor)"/>
      <sheetName val="F5.2(Kor)"/>
      <sheetName val="F5.3(Kor)"/>
      <sheetName val="F5.4(Kor)"/>
      <sheetName val="F6(Kor)"/>
      <sheetName val="F11(Kor)"/>
      <sheetName val="F12(Kor)"/>
      <sheetName val="Paras"/>
      <sheetName val="F1(Paras)"/>
      <sheetName val="F2.1(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1(Parli)"/>
      <sheetName val="F2.1(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1(Kha)"/>
      <sheetName val="F2.1(Kh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1(Nasi)"/>
      <sheetName val="F2.1(Nasi)"/>
      <sheetName val="F2.2(Nasi)"/>
      <sheetName val="F2.3(Nasi)"/>
      <sheetName val="F2.6(Nasi)"/>
      <sheetName val="F3(Nasi)"/>
      <sheetName val="F3.1(Nasi)"/>
      <sheetName val="F3.2(Nasi)"/>
      <sheetName val="F3.3(Nasi)"/>
      <sheetName val="F4(Nasi)"/>
      <sheetName val="F5(Nasi)"/>
      <sheetName val="F5.1(Nasi)"/>
      <sheetName val="F5.2(Nasi)"/>
      <sheetName val="F5.3(Nasi)"/>
      <sheetName val="F5.4(Nasi)"/>
      <sheetName val="F6(Nasi)"/>
      <sheetName val="F11(Nasi)"/>
      <sheetName val="F12(Nasi)"/>
      <sheetName val="Uran"/>
      <sheetName val="F1(Uran)"/>
      <sheetName val="F2.1(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1(Hydro)"/>
      <sheetName val="F2.1(Hydro)"/>
      <sheetName val="F2.3(Hydro)"/>
      <sheetName val="F2.4(Hydro)"/>
      <sheetName val="F2.6(Hydro)"/>
      <sheetName val="F3(Hydro)"/>
      <sheetName val="F3.1(Hydro)"/>
      <sheetName val="F3.2(Hydro)"/>
      <sheetName val="F3.3(Hydro)"/>
      <sheetName val="F4(Hydro)"/>
      <sheetName val="F4(Koyna)"/>
      <sheetName val="F4(PuneHydro)"/>
      <sheetName val="F4(NasikHydro)"/>
      <sheetName val="F5(Hydro)"/>
      <sheetName val="F5.1(Hydro)"/>
      <sheetName val="F5.2(Hydro)"/>
      <sheetName val="F5.3(PuneHydro)"/>
      <sheetName val="F5.4(PuneHydro)"/>
      <sheetName val="F5.3(NasikHydro)"/>
      <sheetName val="F5.4(NasikHydro)"/>
      <sheetName val="F5.3(Koyna)"/>
      <sheetName val="F5.4(Koyna)"/>
      <sheetName val="F6(Hydro)"/>
      <sheetName val="F11(Hydro)"/>
      <sheetName val="F12(Hydro)"/>
      <sheetName val="Level_qty"/>
      <sheetName val="F2_1(Bhu)"/>
      <sheetName val="F2_2(Bhu)"/>
      <sheetName val="F2_3(Bhu)"/>
      <sheetName val="F2_6(Bhu)"/>
      <sheetName val="F3_1(Bhu)"/>
      <sheetName val="F3_2(Bhu)"/>
      <sheetName val="F3_3(Bhu)"/>
      <sheetName val="F5_1(Bhu)"/>
      <sheetName val="F5_2(Bhu)"/>
      <sheetName val="F5_3(Bhu)"/>
      <sheetName val="F5_4(Bhu)"/>
      <sheetName val="F2_1(Cha)"/>
      <sheetName val="F2_2(Cha)"/>
      <sheetName val="F2_3(Cha)"/>
      <sheetName val="F2_6(Cha)"/>
      <sheetName val="F3_1(Cha)"/>
      <sheetName val="F3_2(Cha)"/>
      <sheetName val="F3_3(Cha)"/>
      <sheetName val="F5_1(Cha)"/>
      <sheetName val="F5_2(Cha)"/>
      <sheetName val="F5_3(Cha)"/>
      <sheetName val="F5_4(Cha)"/>
      <sheetName val="F2_1(Kor)"/>
      <sheetName val="F2_2(Kor)"/>
      <sheetName val="F2_3(Kor)"/>
      <sheetName val="F2_6(Kor)"/>
      <sheetName val="F3_1(Kor)"/>
      <sheetName val="F3_2(Kor)"/>
      <sheetName val="F3_3(Kor)"/>
      <sheetName val="F5_1(Kor)"/>
      <sheetName val="F5_2(Kor)"/>
      <sheetName val="F5_3(Kor)"/>
      <sheetName val="F5_4(Kor)"/>
      <sheetName val="F2_1(Paras)"/>
      <sheetName val="F2_2(Paras)"/>
      <sheetName val="F2_3(Paras)"/>
      <sheetName val="F2_6(Paras)"/>
      <sheetName val="F3_1(Paras)"/>
      <sheetName val="F3_2(Paras)"/>
      <sheetName val="F3_3(Paras)"/>
      <sheetName val="F5_1(Paras)"/>
      <sheetName val="F5_2(Paras)"/>
      <sheetName val="F5_3(Paras)"/>
      <sheetName val="F5_4(Paras)"/>
      <sheetName val="F2_1(Parli)"/>
      <sheetName val="F2_2(Parli)"/>
      <sheetName val="F2_3(Parli)"/>
      <sheetName val="F2_6(Parli)"/>
      <sheetName val="F3_1(Parli)"/>
      <sheetName val="F3_2(Parli)"/>
      <sheetName val="F3_3(Parli)"/>
      <sheetName val="F5_1(Parli)"/>
      <sheetName val="F5_2(Parli)"/>
      <sheetName val="F5_3(Parli)"/>
      <sheetName val="F5_4(Parli)"/>
      <sheetName val="F2_1(Kha)"/>
      <sheetName val="F2_2(Kha)"/>
      <sheetName val="F2_3(Kha)"/>
      <sheetName val="F2_6(Kha)"/>
      <sheetName val="F3_1(Kha)"/>
      <sheetName val="F3_2(Kha)"/>
      <sheetName val="F3_3(Kha)"/>
      <sheetName val="F5_1(Kha)"/>
      <sheetName val="F5_2(Kha)"/>
      <sheetName val="F5_3(Kha)"/>
      <sheetName val="F5_4(Kha)"/>
      <sheetName val="F2_1(Nasi)"/>
      <sheetName val="F2_2(Nasi)"/>
      <sheetName val="F2_3(Nasi)"/>
      <sheetName val="F2_6(Nasi)"/>
      <sheetName val="F3_1(Nasi)"/>
      <sheetName val="F3_2(Nasi)"/>
      <sheetName val="F3_3(Nasi)"/>
      <sheetName val="F5_1(Nasi)"/>
      <sheetName val="F5_2(Nasi)"/>
      <sheetName val="F5_3(Nasi)"/>
      <sheetName val="F5_4(Nasi)"/>
      <sheetName val="F2_1(Uran)"/>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3(PuneHydro)"/>
      <sheetName val="F5_4(PuneHydro)"/>
      <sheetName val="F5_3(NasikHydro)"/>
      <sheetName val="F5_4(NasikHydro)"/>
      <sheetName val="F5_3(Koyna)"/>
      <sheetName val="F5_4(Koyna)"/>
      <sheetName val="F2_1(Bhu)1"/>
      <sheetName val="F2_2(Bhu)1"/>
      <sheetName val="F2_3(Bhu)1"/>
      <sheetName val="F2_6(Bhu)1"/>
      <sheetName val="F3_1(Bhu)1"/>
      <sheetName val="F3_2(Bhu)1"/>
      <sheetName val="F3_3(Bhu)1"/>
      <sheetName val="F5_1(Bhu)1"/>
      <sheetName val="F5_2(Bhu)1"/>
      <sheetName val="F5_3(Bhu)1"/>
      <sheetName val="F5_4(Bhu)1"/>
      <sheetName val="F2_1(Cha)1"/>
      <sheetName val="F2_2(Cha)1"/>
      <sheetName val="F2_3(Cha)1"/>
      <sheetName val="F2_6(Cha)1"/>
      <sheetName val="F3_1(Cha)1"/>
      <sheetName val="F3_2(Cha)1"/>
      <sheetName val="F3_3(Cha)1"/>
      <sheetName val="F5_1(Cha)1"/>
      <sheetName val="F5_2(Cha)1"/>
      <sheetName val="F5_3(Cha)1"/>
      <sheetName val="F5_4(Cha)1"/>
      <sheetName val="F2_1(Kor)1"/>
      <sheetName val="F2_2(Kor)1"/>
      <sheetName val="F2_3(Kor)1"/>
      <sheetName val="F2_6(Kor)1"/>
      <sheetName val="F3_1(Kor)1"/>
      <sheetName val="F3_2(Kor)1"/>
      <sheetName val="F3_3(Kor)1"/>
      <sheetName val="F5_1(Kor)1"/>
      <sheetName val="F5_2(Kor)1"/>
      <sheetName val="F5_3(Kor)1"/>
      <sheetName val="F5_4(Kor)1"/>
      <sheetName val="F2_1(Paras)1"/>
      <sheetName val="F2_2(Paras)1"/>
      <sheetName val="F2_3(Paras)1"/>
      <sheetName val="F2_6(Paras)1"/>
      <sheetName val="F3_1(Paras)1"/>
      <sheetName val="F3_2(Paras)1"/>
      <sheetName val="F3_3(Paras)1"/>
      <sheetName val="F5_1(Paras)1"/>
      <sheetName val="F5_2(Paras)1"/>
      <sheetName val="F5_3(Paras)1"/>
      <sheetName val="F5_4(Paras)1"/>
      <sheetName val="F2_1(Parli)1"/>
      <sheetName val="F2_2(Parli)1"/>
      <sheetName val="F2_3(Parli)1"/>
      <sheetName val="F2_6(Parli)1"/>
      <sheetName val="F3_1(Parli)1"/>
      <sheetName val="F3_2(Parli)1"/>
      <sheetName val="F3_3(Parli)1"/>
      <sheetName val="F5_1(Parli)1"/>
      <sheetName val="F5_2(Parli)1"/>
      <sheetName val="F5_3(Parli)1"/>
      <sheetName val="F5_4(Parli)1"/>
      <sheetName val="F2_1(Kha)1"/>
      <sheetName val="F2_2(Kha)1"/>
      <sheetName val="F2_3(Kha)1"/>
      <sheetName val="F2_6(Kha)1"/>
      <sheetName val="F3_1(Kha)1"/>
      <sheetName val="F3_2(Kha)1"/>
      <sheetName val="F3_3(Kha)1"/>
      <sheetName val="F5_1(Kha)1"/>
      <sheetName val="F5_2(Kha)1"/>
      <sheetName val="F5_3(Kha)1"/>
      <sheetName val="F5_4(Kha)1"/>
      <sheetName val="F2_1(Nasi)1"/>
      <sheetName val="F2_2(Nasi)1"/>
      <sheetName val="F2_3(Nasi)1"/>
      <sheetName val="F2_6(Nasi)1"/>
      <sheetName val="F3_1(Nasi)1"/>
      <sheetName val="F3_2(Nasi)1"/>
      <sheetName val="F3_3(Nasi)1"/>
      <sheetName val="F5_1(Nasi)1"/>
      <sheetName val="F5_2(Nasi)1"/>
      <sheetName val="F5_3(Nasi)1"/>
      <sheetName val="F5_4(Nasi)1"/>
      <sheetName val="F2_1(Uran)1"/>
      <sheetName val="F2_2(Uran)1"/>
      <sheetName val="F2_3(Uran)1"/>
      <sheetName val="F2_6(Uran)1"/>
      <sheetName val="F3_1(Uran)1"/>
      <sheetName val="F3_2(Uran)1"/>
      <sheetName val="F3_3(Uran)1"/>
      <sheetName val="F5_1(Uran)1"/>
      <sheetName val="F5_2(Uran)1"/>
      <sheetName val="F5_3(Uran)1"/>
      <sheetName val="F5_4(Uran)1"/>
      <sheetName val="F2_1(Hydro)1"/>
      <sheetName val="F2_3(Hydro)1"/>
      <sheetName val="F2_4(Hydro)1"/>
      <sheetName val="F2_6(Hydro)1"/>
      <sheetName val="F3_1(Hydro)1"/>
      <sheetName val="F3_2(Hydro)1"/>
      <sheetName val="F3_3(Hydro)1"/>
      <sheetName val="F5_1(Hydro)1"/>
      <sheetName val="F5_2(Hydro)1"/>
      <sheetName val="F5_3(PuneHydro)1"/>
      <sheetName val="F5_4(PuneHydro)1"/>
      <sheetName val="F5_3(NasikHydro)1"/>
      <sheetName val="F5_4(NasikHydro)1"/>
      <sheetName val="F5_3(Koyna)1"/>
      <sheetName val="F5_4(Koyn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3.7"/>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dpc cost"/>
      <sheetName val="SUMMERY"/>
      <sheetName val="A 3_7"/>
      <sheetName val="form_x0000__x0000__x0000__x0000__x0000__x0000__x0000__x0000__x0000__x0000__x0000__x0000__x0000_"/>
      <sheetName val=""/>
      <sheetName val="form?????????????"/>
      <sheetName val="form_x0000_"/>
      <sheetName val="04REL"/>
      <sheetName val="Sept "/>
      <sheetName val="7"/>
      <sheetName val="Salient1"/>
      <sheetName val="Labour charges"/>
      <sheetName val="RAJ"/>
      <sheetName val="Feb-06"/>
      <sheetName val="Inputs"/>
      <sheetName val="form"/>
      <sheetName val="form_____________"/>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form_x0000__x0000__x0000__x0000"/>
      <sheetName val="Assumptions"/>
      <sheetName val="form_x005f_x0000__x005f_x0000__x005f_x0000__x0000"/>
      <sheetName val="form_x005f_x0000_"/>
      <sheetName val="form?"/>
      <sheetName val="Ag LF"/>
      <sheetName val="Executive Summary -Thermal"/>
      <sheetName val="Stationwise Thermal &amp; Hydel Gen"/>
      <sheetName val="TWELVE"/>
      <sheetName val="form_"/>
      <sheetName val="all"/>
      <sheetName val="overall"/>
      <sheetName val="Data base"/>
      <sheetName val="form_x005f_x005f_x005f_x0000__x005f_x005f_x005f_x0000__"/>
      <sheetName val="form_x005f_x005f_x005f_x0000_"/>
      <sheetName val="form_x005f_x005f_x005f_x005f_x005f_x005f_x005f_x0000__x"/>
      <sheetName val="form_x005f_x005f_x005f_x005f_x005f_x005f_x005f_x0000_"/>
      <sheetName val="Key_Assume_Common"/>
      <sheetName val="Discom Details"/>
      <sheetName val="data"/>
      <sheetName val="First information "/>
      <sheetName val="annexture-g1"/>
      <sheetName val="PART C"/>
      <sheetName val="Sheet1"/>
      <sheetName val="Part A General"/>
      <sheetName val="feasibility require"/>
      <sheetName val="MOD - Corrected -As per SLDC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dpc cost"/>
      <sheetName val="SUMM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Assumptions"/>
      <sheetName val="A 3.7"/>
      <sheetName val="water_bal"/>
      <sheetName val="Daily_input"/>
      <sheetName val="Daily_report"/>
      <sheetName val="A_3_7"/>
      <sheetName val="Clause 9"/>
      <sheetName val="Daily_input1"/>
      <sheetName val="Daily_report1"/>
      <sheetName val="A_3_71"/>
      <sheetName val="Clause_9"/>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sheetData sheetId="21" refreshError="1"/>
      <sheetData sheetId="22"/>
      <sheetData sheetId="23"/>
      <sheetData sheetId="24"/>
      <sheetData sheetId="2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3.7"/>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Loan Position"/>
      <sheetName val=""/>
      <sheetName val="D-3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ERY"/>
      <sheetName val="HLY -99-00"/>
      <sheetName val="Hydro Data"/>
      <sheetName val="HLY0001"/>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A 3.7"/>
      <sheetName val="HLY_-99-00"/>
      <sheetName val="Hydro_Data"/>
      <sheetName val="dpc_cost"/>
      <sheetName val="Plant_Availability"/>
      <sheetName val="FIX DATA"/>
      <sheetName val="Inputs"/>
      <sheetName val="Feb-06"/>
      <sheetName val="04REL"/>
      <sheetName val="RAJ"/>
      <sheetName val="all"/>
      <sheetName val="Data"/>
      <sheetName val="17(B) govt"/>
      <sheetName val="DLC"/>
      <sheetName val="1.1 Trs. Fai."/>
      <sheetName val="feasibility require"/>
      <sheetName val="Sheet1"/>
      <sheetName val="STN WISE EMR"/>
      <sheetName val="Dom"/>
      <sheetName val="MO EY"/>
      <sheetName val="MO C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A 3.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04REL"/>
      <sheetName val="Daily_input"/>
      <sheetName val="Daily_report"/>
      <sheetName val="Instruction Sheet"/>
      <sheetName val="Daily_input1"/>
      <sheetName val="Daily_report1"/>
      <sheetName val="Instruction_Sheet"/>
      <sheetName val="SUMMERY"/>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refreshError="1"/>
      <sheetData sheetId="19"/>
      <sheetData sheetId="20"/>
      <sheetData sheetId="2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2000-01"/>
      <sheetName val="04REL"/>
      <sheetName val="Inputs &amp; Assumptions"/>
      <sheetName val="Daily_input"/>
      <sheetName val="Daily_report"/>
      <sheetName val="Title"/>
      <sheetName val="CAPI_01-02"/>
      <sheetName val="Daily_input1"/>
      <sheetName val="Daily_report1"/>
      <sheetName val="Inputs_&amp;_Assumption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refreshError="1"/>
      <sheetData sheetId="21" refreshError="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dl.40"/>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20"/>
      <sheetName val="SS-Cost"/>
      <sheetName val="Addl.63 (2)"/>
      <sheetName val="Addl_40"/>
      <sheetName val="Unit_Rate"/>
      <sheetName val="160MVA_Addl"/>
      <sheetName val="220KV_FB"/>
      <sheetName val="315MVA_Addl"/>
      <sheetName val="Addl_401"/>
      <sheetName val="Addl_20"/>
      <sheetName val="Addl_63_(2)"/>
      <sheetName val="132kv DCDS"/>
      <sheetName val=""/>
      <sheetName val="04REL"/>
      <sheetName val="A 3_7"/>
      <sheetName val="data"/>
      <sheetName val="Data base Feb 09"/>
      <sheetName val="grid"/>
      <sheetName val="Salient1"/>
      <sheetName val="Cat_Ser_load"/>
      <sheetName val="PACK (B)"/>
      <sheetName val="Unit_Rate1"/>
      <sheetName val="160MVA_Addl1"/>
      <sheetName val="220KV_FB1"/>
      <sheetName val="315MVA_Addl1"/>
      <sheetName val="Addl_402"/>
      <sheetName val="Addl_201"/>
      <sheetName val="Addl_63_(2)1"/>
      <sheetName val="A_3_7"/>
      <sheetName val="Data_base_Feb_09"/>
      <sheetName val="132kv_DCDS"/>
      <sheetName val="PACK_(B)"/>
      <sheetName val="Sheet1"/>
      <sheetName val="STN WISE EMR"/>
      <sheetName val="Inputs"/>
      <sheetName val="A"/>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Calculations 1"/>
      <sheetName val="Consolidated"/>
      <sheetName val="Input"/>
      <sheetName val="Phasing 1"/>
      <sheetName val="Results"/>
      <sheetName val="Coal-Cal"/>
      <sheetName val="Introduction"/>
      <sheetName val="Calculations 2"/>
      <sheetName val="Calculations 3"/>
      <sheetName val="Calculations 4"/>
      <sheetName val="Calculations 5"/>
      <sheetName val="Phasing 3"/>
      <sheetName val="Dom"/>
      <sheetName val="R_Hrs_ Since Comm"/>
      <sheetName val="ATP"/>
      <sheetName val="UK"/>
      <sheetName val="Scheme Area Details_Block__ C2"/>
      <sheetName val="New33KVSS_E3"/>
      <sheetName val="Prop aug of Ex 33KVSS_E3a"/>
      <sheetName val="Adj.TB"/>
      <sheetName val="Sheet2"/>
      <sheetName val="Citrix"/>
      <sheetName val="Instruction Sheet"/>
      <sheetName val="Coalmine"/>
      <sheetName val="Basis"/>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TRP"/>
      <sheetName val="Scheme_Area_Details_Block___C2"/>
      <sheetName val="Prop_aug_of_Ex_33KVSS_E3a"/>
      <sheetName val="R_Hrs__Since_Comm"/>
      <sheetName val="Scheme_Area_Details_Block___C21"/>
      <sheetName val="Prop_aug_of_Ex_33KVSS_E3a1"/>
      <sheetName val="STN_WISE_EMR"/>
      <sheetName val="Report"/>
      <sheetName val="Latest revised Cost Estimates f"/>
      <sheetName val="Form 6"/>
      <sheetName val="220Kv (2)"/>
      <sheetName val="220Kv"/>
      <sheetName val="QOSWS "/>
      <sheetName val="QFC"/>
      <sheetName val="DE"/>
      <sheetName val="J"/>
      <sheetName val="BOQ"/>
      <sheetName val="CE"/>
      <sheetName val="BSPL"/>
      <sheetName val="Addl_405"/>
      <sheetName val="Unit_Rate4"/>
      <sheetName val="160MVA_Addl4"/>
      <sheetName val="220KV_FB4"/>
      <sheetName val="315MVA_Addl4"/>
      <sheetName val="Addl_204"/>
      <sheetName val="Addl_63_(2)4"/>
      <sheetName val="132kv_DCDS3"/>
      <sheetName val="A_3_73"/>
      <sheetName val="Data_base_Feb_093"/>
      <sheetName val="PACK_(B)1"/>
      <sheetName val="STN_WISE_EMR1"/>
      <sheetName val="Input_sheet"/>
      <sheetName val="BPlan_Energy_Balance_Table"/>
      <sheetName val="Approved_Energy_Balance"/>
      <sheetName val="Energy_Requirement"/>
      <sheetName val="CE_PPA_Installed_"/>
      <sheetName val="Table_for_Business_Plan"/>
      <sheetName val="UPERC_approved_"/>
      <sheetName val="May19_"/>
      <sheetName val="July-19_"/>
      <sheetName val="Sep-19_"/>
      <sheetName val="PP_FY_2019-20_(Monthly)"/>
      <sheetName val="PLF_Computation"/>
      <sheetName val="FY_19_20"/>
      <sheetName val="FY_20_21"/>
      <sheetName val="FY_21_22"/>
      <sheetName val="FY_22_23"/>
      <sheetName val="FY_23_24"/>
      <sheetName val="FY_24_25"/>
      <sheetName val="Table_for_Petition"/>
      <sheetName val="Calculations_1"/>
      <sheetName val="Phasing_1"/>
      <sheetName val="Calculations_2"/>
      <sheetName val="Calculations_3"/>
      <sheetName val="Calculations_4"/>
      <sheetName val="Calculations_5"/>
      <sheetName val="Phasing_3"/>
      <sheetName val="R_Hrs__Since_Comm1"/>
      <sheetName val="Scheme_Area_Details_Block___C22"/>
      <sheetName val="Prop_aug_of_Ex_33KVSS_E3a2"/>
      <sheetName val="Adj_TB"/>
      <sheetName val="Instruction_Sheet"/>
      <sheetName val="dpc_cost"/>
      <sheetName val="Survey_Status_2"/>
      <sheetName val="%_of_Elect"/>
      <sheetName val="cap_all"/>
      <sheetName val="Lead_Statement"/>
      <sheetName val="Detailed_Estimate"/>
      <sheetName val="Labour_charges"/>
      <sheetName val="Latest_revised_Cost_Estimates_f"/>
      <sheetName val="Form_6"/>
      <sheetName val="220Kv_(2)"/>
      <sheetName val="QOSWS_"/>
      <sheetName val="BREAKUP OF O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sheetData sheetId="147"/>
      <sheetData sheetId="148"/>
      <sheetData sheetId="149"/>
      <sheetData sheetId="150"/>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sheetData sheetId="173" refreshError="1"/>
      <sheetData sheetId="174" refreshError="1"/>
      <sheetData sheetId="175" refreshError="1"/>
      <sheetData sheetId="176" refreshError="1"/>
      <sheetData sheetId="177" refreshError="1"/>
      <sheetData sheetId="178"/>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_PwC"/>
      <sheetName val="Assumptions"/>
      <sheetName val="Gainloss computation FY 09-10"/>
      <sheetName val="Summary"/>
      <sheetName val="Issue sheet"/>
      <sheetName val="Tables_True up FY 09-10"/>
      <sheetName val="O&amp;M costs"/>
      <sheetName val="Sheet1"/>
      <sheetName val="F1(Bhu)"/>
      <sheetName val="F1(Cha)"/>
      <sheetName val="F1(Paras)"/>
      <sheetName val="F1(Kor)"/>
      <sheetName val="F1(Parli)"/>
      <sheetName val="F1(Kha)"/>
      <sheetName val="F1(Nasi)"/>
      <sheetName val="F1(Uran)"/>
      <sheetName val="F1(Hydro)"/>
      <sheetName val="F2.1(Bhu)"/>
      <sheetName val="F2.1(Cha)"/>
      <sheetName val="F2.1(Kor)"/>
      <sheetName val="F2.1(Parli)"/>
      <sheetName val="F2.1(Paras)"/>
      <sheetName val="F2.1(Nasi)"/>
      <sheetName val="F2.1(Uran)"/>
      <sheetName val="F2.1(Kha)"/>
      <sheetName val="Capex Bhu"/>
      <sheetName val="Capex Cha"/>
      <sheetName val="Capex Kor"/>
      <sheetName val="Capex Paras"/>
      <sheetName val="Capex Kha"/>
      <sheetName val="Capex parli"/>
      <sheetName val="Capex Nasi"/>
      <sheetName val="Capex Uran"/>
      <sheetName val="Capex Hydro"/>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F2.2(Cha)"/>
      <sheetName val="F2.3(Cha)"/>
      <sheetName val="F2.6(Cha)"/>
      <sheetName val="F3(Cha)"/>
      <sheetName val="F3.1(Cha)"/>
      <sheetName val="F3.2(Cha)"/>
      <sheetName val="F3.3(Cha)"/>
      <sheetName val="F4(Cha)"/>
      <sheetName val="F5.1(Cha)"/>
      <sheetName val="F5(Cha)"/>
      <sheetName val="F5.2(Cha)"/>
      <sheetName val="F5.3(Cha)"/>
      <sheetName val="F5.4(Cha)"/>
      <sheetName val="F6(Cha)"/>
      <sheetName val="F11(Cha)"/>
      <sheetName val="F12(Cha)"/>
      <sheetName val="O&amp;m EXP."/>
      <sheetName val="Koradi"/>
      <sheetName val="F2.2(Kor)"/>
      <sheetName val="F2.3(Kor)"/>
      <sheetName val="F2.6(Kor)"/>
      <sheetName val="F3(Kor)"/>
      <sheetName val="F3.1(Kor)"/>
      <sheetName val="F3.2(Kor)"/>
      <sheetName val="F3.3(Kor)"/>
      <sheetName val="F4(Kor)"/>
      <sheetName val="F5.4(Kor)"/>
      <sheetName val="F5(Kor)"/>
      <sheetName val="F5.1(Kor)"/>
      <sheetName val="F5.2(Kor)"/>
      <sheetName val="F5.3(Kor)"/>
      <sheetName val="F6(Kor)"/>
      <sheetName val="F11(Kor)"/>
      <sheetName val="F12(Kor)"/>
      <sheetName val="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2.2(Nasi)"/>
      <sheetName val="F2.3(Nasi)"/>
      <sheetName val="F2.6(Nasi)"/>
      <sheetName val="F3(Nasi)"/>
      <sheetName val="F3.1(Nasi)"/>
      <sheetName val="F3.2(Nasi)"/>
      <sheetName val="F3.3(Nasi)"/>
      <sheetName val="F4(Nasi)"/>
      <sheetName val="F5(Nasi)"/>
      <sheetName val="F5.1(Nasi)"/>
      <sheetName val="F5.3(Nasi)"/>
      <sheetName val="F5.2(Nasi)"/>
      <sheetName val="F5.4(Nasi)"/>
      <sheetName val="F6(Nasi)"/>
      <sheetName val="F11(Nasi)"/>
      <sheetName val="F12(Nasi)"/>
      <sheetName val="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2.1(Hydro)"/>
      <sheetName val="F2.3(Hydro)"/>
      <sheetName val="F2.4(Hydro)"/>
      <sheetName val="F2.6(Hydro)"/>
      <sheetName val="F3(Hydro)"/>
      <sheetName val="F3.1(Hydro)"/>
      <sheetName val="F3.2(Hydro)"/>
      <sheetName val="F3.3(Hydro)"/>
      <sheetName val="F4(Koyna)"/>
      <sheetName val="F4(PuneHydro)"/>
      <sheetName val="F4(NasikHydro)"/>
      <sheetName val="F5(Hydro)"/>
      <sheetName val="F5.1(Hydro)"/>
      <sheetName val="F5.2(Hydro)"/>
      <sheetName val="F4(Hydro)"/>
      <sheetName val="F5.4(PuneHydro)"/>
      <sheetName val="F5.3(PuneHydro)"/>
      <sheetName val="F5.3(NasikHydro)"/>
      <sheetName val="F5.4(NasikHydro)"/>
      <sheetName val="F5.4(Koyna)"/>
      <sheetName val="F5.3(Koyna)"/>
      <sheetName val="F6(Hydro)"/>
      <sheetName val="F11(Hydro)"/>
      <sheetName val="F12(Hydro)"/>
      <sheetName val="Revised True Up 200809"/>
      <sheetName val="Impact of FY 08-09"/>
      <sheetName val="Gainloss_computation_FY_09-10"/>
      <sheetName val="Issue_sheet"/>
      <sheetName val="Tables_True_up_FY_09-10"/>
      <sheetName val="O&amp;M_costs"/>
      <sheetName val="F2_1(Bhu)"/>
      <sheetName val="F2_1(Cha)"/>
      <sheetName val="F2_1(Kor)"/>
      <sheetName val="F2_1(Parli)"/>
      <sheetName val="F2_1(Paras)"/>
      <sheetName val="F2_1(Nasi)"/>
      <sheetName val="F2_1(Uran)"/>
      <sheetName val="F2_1(Kha)"/>
      <sheetName val="Capex_Bhu"/>
      <sheetName val="Capex_Cha"/>
      <sheetName val="Capex_Kor"/>
      <sheetName val="Capex_Paras"/>
      <sheetName val="Capex_Kha"/>
      <sheetName val="Capex_parli"/>
      <sheetName val="Capex_Nasi"/>
      <sheetName val="Capex_Uran"/>
      <sheetName val="Capex_Hydro"/>
      <sheetName val="F2_2(Bhu)"/>
      <sheetName val="F2_3(Bhu)"/>
      <sheetName val="F2_6(Bhu)"/>
      <sheetName val="F3_1(Bhu)"/>
      <sheetName val="F3_2(Bhu)"/>
      <sheetName val="F3_3(Bhu)"/>
      <sheetName val="F5_1(Bhu)"/>
      <sheetName val="F5_2(Bhu)"/>
      <sheetName val="F5_3(Bhu)"/>
      <sheetName val="F5_4(Bhu)"/>
      <sheetName val="F2_2(Cha)"/>
      <sheetName val="F2_3(Cha)"/>
      <sheetName val="F2_6(Cha)"/>
      <sheetName val="F3_1(Cha)"/>
      <sheetName val="F3_2(Cha)"/>
      <sheetName val="F3_3(Cha)"/>
      <sheetName val="F5_1(Cha)"/>
      <sheetName val="F5_2(Cha)"/>
      <sheetName val="F5_3(Cha)"/>
      <sheetName val="F5_4(Cha)"/>
      <sheetName val="O&amp;m_EXP_"/>
      <sheetName val="F2_2(Kor)"/>
      <sheetName val="F2_3(Kor)"/>
      <sheetName val="F2_6(Kor)"/>
      <sheetName val="F3_1(Kor)"/>
      <sheetName val="F3_2(Kor)"/>
      <sheetName val="F3_3(Kor)"/>
      <sheetName val="F5_4(Kor)"/>
      <sheetName val="F5_1(Kor)"/>
      <sheetName val="F5_2(Kor)"/>
      <sheetName val="F5_3(Kor)"/>
      <sheetName val="F2_2(Paras)"/>
      <sheetName val="F2_3(Paras)"/>
      <sheetName val="F2_6(Paras)"/>
      <sheetName val="F3_1(Paras)"/>
      <sheetName val="F3_2(Paras)"/>
      <sheetName val="F3_3(Paras)"/>
      <sheetName val="F5_1(Paras)"/>
      <sheetName val="F5_2(Paras)"/>
      <sheetName val="F5_3(Paras)"/>
      <sheetName val="F5_4(Paras)"/>
      <sheetName val="F2_2(Parli)"/>
      <sheetName val="F2_3(Parli)"/>
      <sheetName val="F2_6(Parli)"/>
      <sheetName val="F3_1(Parli)"/>
      <sheetName val="F3_2(Parli)"/>
      <sheetName val="F3_3(Parli)"/>
      <sheetName val="F5_1(Parli)"/>
      <sheetName val="F5_2(Parli)"/>
      <sheetName val="F5_3(Parli)"/>
      <sheetName val="F5_4(Parli)"/>
      <sheetName val="F2_2(Kha)"/>
      <sheetName val="F2_3(Kha)"/>
      <sheetName val="F2_6(Kha)"/>
      <sheetName val="F3_1(Kha)"/>
      <sheetName val="F3_2(Kha)"/>
      <sheetName val="F3_3(Kha)"/>
      <sheetName val="F5_1(Kha)"/>
      <sheetName val="F5_2(Kha)"/>
      <sheetName val="F5_3(Kha)"/>
      <sheetName val="F5_4(Kha)"/>
      <sheetName val="F2_2(Nasi)"/>
      <sheetName val="F2_3(Nasi)"/>
      <sheetName val="F2_6(Nasi)"/>
      <sheetName val="F3_1(Nasi)"/>
      <sheetName val="F3_2(Nasi)"/>
      <sheetName val="F3_3(Nasi)"/>
      <sheetName val="F5_1(Nasi)"/>
      <sheetName val="F5_3(Nasi)"/>
      <sheetName val="F5_2(Nasi)"/>
      <sheetName val="F5_4(Nasi)"/>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4(PuneHydro)"/>
      <sheetName val="F5_3(PuneHydro)"/>
      <sheetName val="F5_3(NasikHydro)"/>
      <sheetName val="F5_4(NasikHydro)"/>
      <sheetName val="F5_4(Koyna)"/>
      <sheetName val="F5_3(Koyna)"/>
      <sheetName val="Revised_True_Up_200809"/>
      <sheetName val="Impact_of_FY_08-09"/>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inloss computation FY 09-10"/>
      <sheetName val="Summary"/>
      <sheetName val="Issue sheet"/>
      <sheetName val="Tables_True up FY 09-10"/>
      <sheetName val="Assumption_PwC"/>
      <sheetName val="O&amp;M costs"/>
      <sheetName val="Sheet1"/>
      <sheetName val="F1(Bhu)"/>
      <sheetName val="F1(Cha)"/>
      <sheetName val="F1(Paras)"/>
      <sheetName val="F1(Kor)"/>
      <sheetName val="F1(Parli)"/>
      <sheetName val="F1(Kha)"/>
      <sheetName val="F1(Nasi)"/>
      <sheetName val="F1(Uran)"/>
      <sheetName val="F1(Hydro)"/>
      <sheetName val="F2.1(Bhu)"/>
      <sheetName val="F2.1(Cha)"/>
      <sheetName val="F2.1(Kor)"/>
      <sheetName val="F2.1(Parli)"/>
      <sheetName val="F2.1(Paras)"/>
      <sheetName val="F2.1(Nasi)"/>
      <sheetName val="F2.1(Uran)"/>
      <sheetName val="F2.1(Kha)"/>
      <sheetName val="Capex Bhu"/>
      <sheetName val="Capex Cha"/>
      <sheetName val="Capex Kor"/>
      <sheetName val="Capex Paras"/>
      <sheetName val="Capex Kha"/>
      <sheetName val="Capex parli"/>
      <sheetName val="Capex Nasi"/>
      <sheetName val="Capex Uran"/>
      <sheetName val="Capex Hydro"/>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F2.2(Cha)"/>
      <sheetName val="F2.3(Cha)"/>
      <sheetName val="F2.6(Cha)"/>
      <sheetName val="F3(Cha)"/>
      <sheetName val="F3.1(Cha)"/>
      <sheetName val="F3.2(Cha)"/>
      <sheetName val="F3.3(Cha)"/>
      <sheetName val="F4(Cha)"/>
      <sheetName val="F5.1(Cha)"/>
      <sheetName val="F5(Cha)"/>
      <sheetName val="F5.2(Cha)"/>
      <sheetName val="F5.3(Cha)"/>
      <sheetName val="F5.4(Cha)"/>
      <sheetName val="F6(Cha)"/>
      <sheetName val="F11(Cha)"/>
      <sheetName val="F12(Cha)"/>
      <sheetName val="O&amp;m EXP."/>
      <sheetName val="Koradi"/>
      <sheetName val="F2.2(Kor)"/>
      <sheetName val="F2.3(Kor)"/>
      <sheetName val="F2.6(Kor)"/>
      <sheetName val="F3(Kor)"/>
      <sheetName val="F3.1(Kor)"/>
      <sheetName val="F3.2(Kor)"/>
      <sheetName val="F3.3(Kor)"/>
      <sheetName val="F4(Kor)"/>
      <sheetName val="F5.4(Kor)"/>
      <sheetName val="F5(Kor)"/>
      <sheetName val="F5.1(Kor)"/>
      <sheetName val="F5.2(Kor)"/>
      <sheetName val="F5.3(Kor)"/>
      <sheetName val="F6(Kor)"/>
      <sheetName val="F11(Kor)"/>
      <sheetName val="F12(Kor)"/>
      <sheetName val="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2.2(Nasi)"/>
      <sheetName val="F2.3(Nasi)"/>
      <sheetName val="F2.6(Nasi)"/>
      <sheetName val="F3(Nasi)"/>
      <sheetName val="F3.1(Nasi)"/>
      <sheetName val="F3.2(Nasi)"/>
      <sheetName val="F3.3(Nasi)"/>
      <sheetName val="F4(Nasi)"/>
      <sheetName val="F5(Nasi)"/>
      <sheetName val="F5.1(Nasi)"/>
      <sheetName val="F5.3(Nasi)"/>
      <sheetName val="F5.2(Nasi)"/>
      <sheetName val="F5.4(Nasi)"/>
      <sheetName val="F6(Nasi)"/>
      <sheetName val="F11(Nasi)"/>
      <sheetName val="F12(Nasi)"/>
      <sheetName val="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2.1(Hydro)"/>
      <sheetName val="F2.3(Hydro)"/>
      <sheetName val="F2.4(Hydro)"/>
      <sheetName val="F2.6(Hydro)"/>
      <sheetName val="F3(Hydro)"/>
      <sheetName val="F3.1(Hydro)"/>
      <sheetName val="F3.2(Hydro)"/>
      <sheetName val="F3.3(Hydro)"/>
      <sheetName val="F4(Koyna)"/>
      <sheetName val="F4(PuneHydro)"/>
      <sheetName val="F4(NasikHydro)"/>
      <sheetName val="F5(Hydro)"/>
      <sheetName val="F5.1(Hydro)"/>
      <sheetName val="F5.2(Hydro)"/>
      <sheetName val="F4(Hydro)"/>
      <sheetName val="F5.4(PuneHydro)"/>
      <sheetName val="F5.3(PuneHydro)"/>
      <sheetName val="F5.3(NasikHydro)"/>
      <sheetName val="F5.4(NasikHydro)"/>
      <sheetName val="F5.4(Koyna)"/>
      <sheetName val="F5.3(Koyna)"/>
      <sheetName val="F6(Hydro)"/>
      <sheetName val="F11(Hydro)"/>
      <sheetName val="F12(Hydro)"/>
      <sheetName val="Revised True Up 200809"/>
      <sheetName val="Impact of FY 08-09"/>
      <sheetName val="Gainloss_computation_FY_09-10"/>
      <sheetName val="Issue_sheet"/>
      <sheetName val="Tables_True_up_FY_09-10"/>
      <sheetName val="O&amp;M_costs"/>
      <sheetName val="F2_1(Bhu)"/>
      <sheetName val="F2_1(Cha)"/>
      <sheetName val="F2_1(Kor)"/>
      <sheetName val="F2_1(Parli)"/>
      <sheetName val="F2_1(Paras)"/>
      <sheetName val="F2_1(Nasi)"/>
      <sheetName val="F2_1(Uran)"/>
      <sheetName val="F2_1(Kha)"/>
      <sheetName val="Capex_Bhu"/>
      <sheetName val="Capex_Cha"/>
      <sheetName val="Capex_Kor"/>
      <sheetName val="Capex_Paras"/>
      <sheetName val="Capex_Kha"/>
      <sheetName val="Capex_parli"/>
      <sheetName val="Capex_Nasi"/>
      <sheetName val="Capex_Uran"/>
      <sheetName val="Capex_Hydro"/>
      <sheetName val="F2_2(Bhu)"/>
      <sheetName val="F2_3(Bhu)"/>
      <sheetName val="F2_6(Bhu)"/>
      <sheetName val="F3_1(Bhu)"/>
      <sheetName val="F3_2(Bhu)"/>
      <sheetName val="F3_3(Bhu)"/>
      <sheetName val="F5_1(Bhu)"/>
      <sheetName val="F5_2(Bhu)"/>
      <sheetName val="F5_3(Bhu)"/>
      <sheetName val="F5_4(Bhu)"/>
      <sheetName val="F2_2(Cha)"/>
      <sheetName val="F2_3(Cha)"/>
      <sheetName val="F2_6(Cha)"/>
      <sheetName val="F3_1(Cha)"/>
      <sheetName val="F3_2(Cha)"/>
      <sheetName val="F3_3(Cha)"/>
      <sheetName val="F5_1(Cha)"/>
      <sheetName val="F5_2(Cha)"/>
      <sheetName val="F5_3(Cha)"/>
      <sheetName val="F5_4(Cha)"/>
      <sheetName val="O&amp;m_EXP_"/>
      <sheetName val="F2_2(Kor)"/>
      <sheetName val="F2_3(Kor)"/>
      <sheetName val="F2_6(Kor)"/>
      <sheetName val="F3_1(Kor)"/>
      <sheetName val="F3_2(Kor)"/>
      <sheetName val="F3_3(Kor)"/>
      <sheetName val="F5_4(Kor)"/>
      <sheetName val="F5_1(Kor)"/>
      <sheetName val="F5_2(Kor)"/>
      <sheetName val="F5_3(Kor)"/>
      <sheetName val="F2_2(Paras)"/>
      <sheetName val="F2_3(Paras)"/>
      <sheetName val="F2_6(Paras)"/>
      <sheetName val="F3_1(Paras)"/>
      <sheetName val="F3_2(Paras)"/>
      <sheetName val="F3_3(Paras)"/>
      <sheetName val="F5_1(Paras)"/>
      <sheetName val="F5_2(Paras)"/>
      <sheetName val="F5_3(Paras)"/>
      <sheetName val="F5_4(Paras)"/>
      <sheetName val="F2_2(Parli)"/>
      <sheetName val="F2_3(Parli)"/>
      <sheetName val="F2_6(Parli)"/>
      <sheetName val="F3_1(Parli)"/>
      <sheetName val="F3_2(Parli)"/>
      <sheetName val="F3_3(Parli)"/>
      <sheetName val="F5_1(Parli)"/>
      <sheetName val="F5_2(Parli)"/>
      <sheetName val="F5_3(Parli)"/>
      <sheetName val="F5_4(Parli)"/>
      <sheetName val="F2_2(Kha)"/>
      <sheetName val="F2_3(Kha)"/>
      <sheetName val="F2_6(Kha)"/>
      <sheetName val="F3_1(Kha)"/>
      <sheetName val="F3_2(Kha)"/>
      <sheetName val="F3_3(Kha)"/>
      <sheetName val="F5_1(Kha)"/>
      <sheetName val="F5_2(Kha)"/>
      <sheetName val="F5_3(Kha)"/>
      <sheetName val="F5_4(Kha)"/>
      <sheetName val="F2_2(Nasi)"/>
      <sheetName val="F2_3(Nasi)"/>
      <sheetName val="F2_6(Nasi)"/>
      <sheetName val="F3_1(Nasi)"/>
      <sheetName val="F3_2(Nasi)"/>
      <sheetName val="F3_3(Nasi)"/>
      <sheetName val="F5_1(Nasi)"/>
      <sheetName val="F5_3(Nasi)"/>
      <sheetName val="F5_2(Nasi)"/>
      <sheetName val="F5_4(Nasi)"/>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4(PuneHydro)"/>
      <sheetName val="F5_3(PuneHydro)"/>
      <sheetName val="F5_3(NasikHydro)"/>
      <sheetName val="F5_4(NasikHydro)"/>
      <sheetName val="F5_4(Koyna)"/>
      <sheetName val="F5_3(Koyna)"/>
      <sheetName val="Revised_True_Up_200809"/>
      <sheetName val="Impact_of_FY_08-09"/>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01"/>
      <sheetName val="Temp"/>
      <sheetName val="Sheet1"/>
      <sheetName val="1997-1998"/>
      <sheetName val="1998-1999"/>
      <sheetName val="1999-2000"/>
      <sheetName val="2001-02"/>
      <sheetName val="2002-03"/>
      <sheetName val="2003-04"/>
      <sheetName val="2004-05"/>
      <sheetName val="2005-06"/>
      <sheetName val="2006-07"/>
      <sheetName val="2007-08"/>
      <sheetName val="2008-09"/>
      <sheetName val="2009-10"/>
      <sheetName val="2010-11"/>
      <sheetName val="2011-12"/>
      <sheetName val="2012-13"/>
      <sheetName val="2013-14"/>
      <sheetName val="2014-15"/>
      <sheetName val="2014-15-U-2ESD"/>
      <sheetName val="Yly-Gen"/>
      <sheetName val="Data"/>
      <sheetName val="Since Comm,"/>
      <sheetName val="History Data"/>
      <sheetName val="Gen.Data 87-97"/>
      <sheetName val="C.F., C.V. &amp; H.R."/>
      <sheetName val="Gen., Coal Factor, Heat Rate"/>
      <sheetName val="SAP-Data"/>
      <sheetName val="Assumptions"/>
      <sheetName val="Assumption_PwC"/>
      <sheetName val="Since_Comm,"/>
      <sheetName val="History_Data"/>
      <sheetName val="Gen_Data_87-97"/>
      <sheetName val="C_F_,_C_V__&amp;_H_R_"/>
      <sheetName val="Gen_,_Coal_Factor,_Heat_Rate"/>
      <sheetName val="Since_Comm,1"/>
      <sheetName val="History_Data1"/>
      <sheetName val="Gen_Data_87-971"/>
      <sheetName val="C_F_,_C_V__&amp;_H_R_1"/>
      <sheetName val="Gen_,_Coal_Factor,_Heat_Rat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mary"/>
      <sheetName val="BHUSAWAL"/>
      <sheetName val="F1(Bhu)"/>
      <sheetName val="F2.1(Bhu)"/>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Chandrapur"/>
      <sheetName val="F1(Cha)"/>
      <sheetName val="F2.1(Cha)"/>
      <sheetName val="F2.2(Cha)"/>
      <sheetName val="F2.3(Cha)"/>
      <sheetName val="F2.6(Cha)"/>
      <sheetName val="F3(Cha)"/>
      <sheetName val="F3.1(Cha)"/>
      <sheetName val="F3.2(Cha)"/>
      <sheetName val="F3.3(Cha)"/>
      <sheetName val="F4(Cha)"/>
      <sheetName val="F5(Cha)"/>
      <sheetName val="F5.1(Cha)"/>
      <sheetName val="F5.2(Cha)"/>
      <sheetName val="F5.3(Cha)"/>
      <sheetName val="F5.4(Cha)"/>
      <sheetName val="F6(Cha)"/>
      <sheetName val="F11(Cha)"/>
      <sheetName val="F12(Cha)"/>
      <sheetName val="Koradi"/>
      <sheetName val="F1(Kor)"/>
      <sheetName val="F2.1(Kor)"/>
      <sheetName val="F2.2(Kor)"/>
      <sheetName val="F2.3(Kor)"/>
      <sheetName val="F2.6(Kor)"/>
      <sheetName val="F3(Kor)"/>
      <sheetName val="F3.1(Kor)"/>
      <sheetName val="F3.2(Kor)"/>
      <sheetName val="F3.3(Kor)"/>
      <sheetName val="F4(Kor)"/>
      <sheetName val="F5(Kor)"/>
      <sheetName val="F5.1(Kor)"/>
      <sheetName val="F5.2(Kor)"/>
      <sheetName val="F5.3(Kor)"/>
      <sheetName val="F5.4(Kor)"/>
      <sheetName val="F6(Kor)"/>
      <sheetName val="F11(Kor)"/>
      <sheetName val="F12(Kor)"/>
      <sheetName val="Paras"/>
      <sheetName val="F1(Paras)"/>
      <sheetName val="F2.1(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1(Parli)"/>
      <sheetName val="F2.1(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1(Kha)"/>
      <sheetName val="F2.1(Kh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1(Nasi)"/>
      <sheetName val="F2.1(Nasi)"/>
      <sheetName val="F2.2(Nasi)"/>
      <sheetName val="F2.3(Nasi)"/>
      <sheetName val="F2.6(Nasi)"/>
      <sheetName val="F3(Nasi)"/>
      <sheetName val="F3.1(Nasi)"/>
      <sheetName val="F3.2(Nasi)"/>
      <sheetName val="F3.3(Nasi)"/>
      <sheetName val="F4(Nasi)"/>
      <sheetName val="F5(Nasi)"/>
      <sheetName val="F5.1(Nasi)"/>
      <sheetName val="F5.2(Nasi)"/>
      <sheetName val="F5.3(Nasi)"/>
      <sheetName val="F5.4(Nasi)"/>
      <sheetName val="F6(Nasi)"/>
      <sheetName val="F11(Nasi)"/>
      <sheetName val="F12(Nasi)"/>
      <sheetName val="Uran"/>
      <sheetName val="F1(Uran)"/>
      <sheetName val="F2.1(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1(Hydro)"/>
      <sheetName val="F2.1(Hydro)"/>
      <sheetName val="F2.3(Hydro)"/>
      <sheetName val="F2.4(Hydro)"/>
      <sheetName val="F2.6(Hydro)"/>
      <sheetName val="F3(Hydro)"/>
      <sheetName val="F3.1(Hydro)"/>
      <sheetName val="F3.2(Hydro)"/>
      <sheetName val="F3.3(Hydro)"/>
      <sheetName val="F4(Hydro)"/>
      <sheetName val="F4(Koyna)"/>
      <sheetName val="F4(PuneHydro)"/>
      <sheetName val="F4(NasikHydro)"/>
      <sheetName val="F5(Hydro)"/>
      <sheetName val="F5.1(Hydro)"/>
      <sheetName val="F5.2(Hydro)"/>
      <sheetName val="F5.3(PuneHydro)"/>
      <sheetName val="F5.4(PuneHydro)"/>
      <sheetName val="F5.3(NasikHydro)"/>
      <sheetName val="F5.4(NasikHydro)"/>
      <sheetName val="F5.3(Koyna)"/>
      <sheetName val="F5.4(Koyna)"/>
      <sheetName val="F6(Hydro)"/>
      <sheetName val="F11(Hydro)"/>
      <sheetName val="F12(Hydro)"/>
      <sheetName val="2000-01"/>
      <sheetName val="F2_1(Bhu)"/>
      <sheetName val="F2_2(Bhu)"/>
      <sheetName val="F2_3(Bhu)"/>
      <sheetName val="F2_6(Bhu)"/>
      <sheetName val="F3_1(Bhu)"/>
      <sheetName val="F3_2(Bhu)"/>
      <sheetName val="F3_3(Bhu)"/>
      <sheetName val="F5_1(Bhu)"/>
      <sheetName val="F5_2(Bhu)"/>
      <sheetName val="F5_3(Bhu)"/>
      <sheetName val="F5_4(Bhu)"/>
      <sheetName val="F2_1(Cha)"/>
      <sheetName val="F2_2(Cha)"/>
      <sheetName val="F2_3(Cha)"/>
      <sheetName val="F2_6(Cha)"/>
      <sheetName val="F3_1(Cha)"/>
      <sheetName val="F3_2(Cha)"/>
      <sheetName val="F3_3(Cha)"/>
      <sheetName val="F5_1(Cha)"/>
      <sheetName val="F5_2(Cha)"/>
      <sheetName val="F5_3(Cha)"/>
      <sheetName val="F5_4(Cha)"/>
      <sheetName val="F2_1(Kor)"/>
      <sheetName val="F2_2(Kor)"/>
      <sheetName val="F2_3(Kor)"/>
      <sheetName val="F2_6(Kor)"/>
      <sheetName val="F3_1(Kor)"/>
      <sheetName val="F3_2(Kor)"/>
      <sheetName val="F3_3(Kor)"/>
      <sheetName val="F5_1(Kor)"/>
      <sheetName val="F5_2(Kor)"/>
      <sheetName val="F5_3(Kor)"/>
      <sheetName val="F5_4(Kor)"/>
      <sheetName val="F2_1(Paras)"/>
      <sheetName val="F2_2(Paras)"/>
      <sheetName val="F2_3(Paras)"/>
      <sheetName val="F2_6(Paras)"/>
      <sheetName val="F3_1(Paras)"/>
      <sheetName val="F3_2(Paras)"/>
      <sheetName val="F3_3(Paras)"/>
      <sheetName val="F5_1(Paras)"/>
      <sheetName val="F5_2(Paras)"/>
      <sheetName val="F5_3(Paras)"/>
      <sheetName val="F5_4(Paras)"/>
      <sheetName val="F2_1(Parli)"/>
      <sheetName val="F2_2(Parli)"/>
      <sheetName val="F2_3(Parli)"/>
      <sheetName val="F2_6(Parli)"/>
      <sheetName val="F3_1(Parli)"/>
      <sheetName val="F3_2(Parli)"/>
      <sheetName val="F3_3(Parli)"/>
      <sheetName val="F5_1(Parli)"/>
      <sheetName val="F5_2(Parli)"/>
      <sheetName val="F5_3(Parli)"/>
      <sheetName val="F5_4(Parli)"/>
      <sheetName val="F2_1(Kha)"/>
      <sheetName val="F2_2(Kha)"/>
      <sheetName val="F2_3(Kha)"/>
      <sheetName val="F2_6(Kha)"/>
      <sheetName val="F3_1(Kha)"/>
      <sheetName val="F3_2(Kha)"/>
      <sheetName val="F3_3(Kha)"/>
      <sheetName val="F5_1(Kha)"/>
      <sheetName val="F5_2(Kha)"/>
      <sheetName val="F5_3(Kha)"/>
      <sheetName val="F5_4(Kha)"/>
      <sheetName val="F2_1(Nasi)"/>
      <sheetName val="F2_2(Nasi)"/>
      <sheetName val="F2_3(Nasi)"/>
      <sheetName val="F2_6(Nasi)"/>
      <sheetName val="F3_1(Nasi)"/>
      <sheetName val="F3_2(Nasi)"/>
      <sheetName val="F3_3(Nasi)"/>
      <sheetName val="F5_1(Nasi)"/>
      <sheetName val="F5_2(Nasi)"/>
      <sheetName val="F5_3(Nasi)"/>
      <sheetName val="F5_4(Nasi)"/>
      <sheetName val="F2_1(Uran)"/>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3(PuneHydro)"/>
      <sheetName val="F5_4(PuneHydro)"/>
      <sheetName val="F5_3(NasikHydro)"/>
      <sheetName val="F5_4(NasikHydro)"/>
      <sheetName val="F5_3(Koyna)"/>
      <sheetName val="F5_4(Koyna)"/>
      <sheetName val="F2_1(Bhu)1"/>
      <sheetName val="F2_2(Bhu)1"/>
      <sheetName val="F2_3(Bhu)1"/>
      <sheetName val="F2_6(Bhu)1"/>
      <sheetName val="F3_1(Bhu)1"/>
      <sheetName val="F3_2(Bhu)1"/>
      <sheetName val="F3_3(Bhu)1"/>
      <sheetName val="F5_1(Bhu)1"/>
      <sheetName val="F5_2(Bhu)1"/>
      <sheetName val="F5_3(Bhu)1"/>
      <sheetName val="F5_4(Bhu)1"/>
      <sheetName val="F2_1(Cha)1"/>
      <sheetName val="F2_2(Cha)1"/>
      <sheetName val="F2_3(Cha)1"/>
      <sheetName val="F2_6(Cha)1"/>
      <sheetName val="F3_1(Cha)1"/>
      <sheetName val="F3_2(Cha)1"/>
      <sheetName val="F3_3(Cha)1"/>
      <sheetName val="F5_1(Cha)1"/>
      <sheetName val="F5_2(Cha)1"/>
      <sheetName val="F5_3(Cha)1"/>
      <sheetName val="F5_4(Cha)1"/>
      <sheetName val="F2_1(Kor)1"/>
      <sheetName val="F2_2(Kor)1"/>
      <sheetName val="F2_3(Kor)1"/>
      <sheetName val="F2_6(Kor)1"/>
      <sheetName val="F3_1(Kor)1"/>
      <sheetName val="F3_2(Kor)1"/>
      <sheetName val="F3_3(Kor)1"/>
      <sheetName val="F5_1(Kor)1"/>
      <sheetName val="F5_2(Kor)1"/>
      <sheetName val="F5_3(Kor)1"/>
      <sheetName val="F5_4(Kor)1"/>
      <sheetName val="F2_1(Paras)1"/>
      <sheetName val="F2_2(Paras)1"/>
      <sheetName val="F2_3(Paras)1"/>
      <sheetName val="F2_6(Paras)1"/>
      <sheetName val="F3_1(Paras)1"/>
      <sheetName val="F3_2(Paras)1"/>
      <sheetName val="F3_3(Paras)1"/>
      <sheetName val="F5_1(Paras)1"/>
      <sheetName val="F5_2(Paras)1"/>
      <sheetName val="F5_3(Paras)1"/>
      <sheetName val="F5_4(Paras)1"/>
      <sheetName val="F2_1(Parli)1"/>
      <sheetName val="F2_2(Parli)1"/>
      <sheetName val="F2_3(Parli)1"/>
      <sheetName val="F2_6(Parli)1"/>
      <sheetName val="F3_1(Parli)1"/>
      <sheetName val="F3_2(Parli)1"/>
      <sheetName val="F3_3(Parli)1"/>
      <sheetName val="F5_1(Parli)1"/>
      <sheetName val="F5_2(Parli)1"/>
      <sheetName val="F5_3(Parli)1"/>
      <sheetName val="F5_4(Parli)1"/>
      <sheetName val="F2_1(Kha)1"/>
      <sheetName val="F2_2(Kha)1"/>
      <sheetName val="F2_3(Kha)1"/>
      <sheetName val="F2_6(Kha)1"/>
      <sheetName val="F3_1(Kha)1"/>
      <sheetName val="F3_2(Kha)1"/>
      <sheetName val="F3_3(Kha)1"/>
      <sheetName val="F5_1(Kha)1"/>
      <sheetName val="F5_2(Kha)1"/>
      <sheetName val="F5_3(Kha)1"/>
      <sheetName val="F5_4(Kha)1"/>
      <sheetName val="F2_1(Nasi)1"/>
      <sheetName val="F2_2(Nasi)1"/>
      <sheetName val="F2_3(Nasi)1"/>
      <sheetName val="F2_6(Nasi)1"/>
      <sheetName val="F3_1(Nasi)1"/>
      <sheetName val="F3_2(Nasi)1"/>
      <sheetName val="F3_3(Nasi)1"/>
      <sheetName val="F5_1(Nasi)1"/>
      <sheetName val="F5_2(Nasi)1"/>
      <sheetName val="F5_3(Nasi)1"/>
      <sheetName val="F5_4(Nasi)1"/>
      <sheetName val="F2_1(Uran)1"/>
      <sheetName val="F2_2(Uran)1"/>
      <sheetName val="F2_3(Uran)1"/>
      <sheetName val="F2_6(Uran)1"/>
      <sheetName val="F3_1(Uran)1"/>
      <sheetName val="F3_2(Uran)1"/>
      <sheetName val="F3_3(Uran)1"/>
      <sheetName val="F5_1(Uran)1"/>
      <sheetName val="F5_2(Uran)1"/>
      <sheetName val="F5_3(Uran)1"/>
      <sheetName val="F5_4(Uran)1"/>
      <sheetName val="F2_1(Hydro)1"/>
      <sheetName val="F2_3(Hydro)1"/>
      <sheetName val="F2_4(Hydro)1"/>
      <sheetName val="F2_6(Hydro)1"/>
      <sheetName val="F3_1(Hydro)1"/>
      <sheetName val="F3_2(Hydro)1"/>
      <sheetName val="F3_3(Hydro)1"/>
      <sheetName val="F5_1(Hydro)1"/>
      <sheetName val="F5_2(Hydro)1"/>
      <sheetName val="F5_3(PuneHydro)1"/>
      <sheetName val="F5_4(PuneHydro)1"/>
      <sheetName val="F5_3(NasikHydro)1"/>
      <sheetName val="F5_4(NasikHydro)1"/>
      <sheetName val="F5_3(Koyna)1"/>
      <sheetName val="F5_4(Koyn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c cost"/>
      <sheetName val="SUMMERY"/>
      <sheetName val="HLY -99-00"/>
      <sheetName val="Hydro Data"/>
      <sheetName val="HLY0001"/>
      <sheetName val="mnthly-chrt"/>
      <sheetName val="purchase"/>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HLY_-99-00"/>
      <sheetName val="Hydro_Data"/>
      <sheetName val="dpc_cost"/>
      <sheetName val="Plant_Availability"/>
      <sheetName val="Bombaybazar(Remark)"/>
      <sheetName val="Assumptions"/>
      <sheetName val="Discom Details"/>
      <sheetName val="A 3.7"/>
      <sheetName val="C.S.GENERATION"/>
      <sheetName val="Cash Flow"/>
      <sheetName val="Sch-3"/>
      <sheetName val="HLY_-99-002"/>
      <sheetName val="Hydro_Data2"/>
      <sheetName val="dpc_cost2"/>
      <sheetName val="Plant_Availability2"/>
      <sheetName val="HLY_-99-001"/>
      <sheetName val="Hydro_Data1"/>
      <sheetName val="dpc_cost1"/>
      <sheetName val="Plant_Availability1"/>
      <sheetName val="all"/>
      <sheetName val="04rel"/>
      <sheetName val="HLY_-99-003"/>
      <sheetName val="Hydro_Data3"/>
      <sheetName val="dpc_cost3"/>
      <sheetName val="Plant_Availability3"/>
      <sheetName val="Discom_Details"/>
      <sheetName val="A_3_7"/>
      <sheetName val="C_S_GENERATION"/>
      <sheetName val="Cash_Flow"/>
      <sheetName val="RAJ"/>
      <sheetName val="DCL AUG 12"/>
      <sheetName val="Index Feb 09"/>
      <sheetName val="Data base Feb 09"/>
      <sheetName val="General"/>
      <sheetName val="7.11 p1"/>
      <sheetName val="strain"/>
      <sheetName val="data"/>
      <sheetName val="HLY_-99-004"/>
      <sheetName val="Hydro_Data4"/>
      <sheetName val="dpc_cost4"/>
      <sheetName val="Plant_Availability4"/>
      <sheetName val="Discom_Details1"/>
      <sheetName val="A_3_71"/>
      <sheetName val="C_S_GENERATION1"/>
      <sheetName val="Cash_Flow1"/>
      <sheetName val="7_11_p1"/>
      <sheetName val="7_11_p11"/>
      <sheetName val="Discom_Details2"/>
      <sheetName val="A_3_72"/>
      <sheetName val="C_S_GENERATION2"/>
      <sheetName val="7_11_p12"/>
      <sheetName val="Form-B"/>
      <sheetName val="tb2002 linked"/>
      <sheetName val="sum"/>
      <sheetName val="DPT-PW"/>
      <sheetName val="Factor_sheet"/>
      <sheetName val="Energy_bal"/>
      <sheetName val="4 Annex 1 Basic rate"/>
      <sheetName val="SCF"/>
      <sheetName val="Report"/>
      <sheetName val="Dispatch 2.0"/>
      <sheetName val="DETAILED  BOQ"/>
      <sheetName val="sep01"/>
      <sheetName val="TRP"/>
      <sheetName val="Dom"/>
      <sheetName val="Inputs"/>
      <sheetName val="Feb-06"/>
      <sheetName val="17(B) govt"/>
      <sheetName val="NOPAT_VDF"/>
      <sheetName val="Invested capital_VDF"/>
      <sheetName val="Conductor Size"/>
      <sheetName val="Addl.40"/>
      <sheetName val="DETAILED__BOQ"/>
      <sheetName val="DCL_AUG_12"/>
      <sheetName val="Index_Feb_09"/>
      <sheetName val="Data_base_Feb_09"/>
      <sheetName val="Dispatch_2_0"/>
      <sheetName val="Addl_40"/>
      <sheetName val="Sheet2"/>
      <sheetName val="FT-05-02IsoBOM"/>
      <sheetName val="1"/>
      <sheetName val="Code"/>
      <sheetName val="Design"/>
      <sheetName val="Coalmine"/>
      <sheetName val="Staff Acco."/>
      <sheetName val="BLR 1"/>
      <sheetName val="GEN"/>
      <sheetName val="GAS"/>
      <sheetName val="DEAE"/>
      <sheetName val="BLR2"/>
      <sheetName val="BLR3"/>
      <sheetName val="BLR4"/>
      <sheetName val="BLR5"/>
      <sheetName val="DEM"/>
      <sheetName val="SAM"/>
      <sheetName val="CHEM"/>
      <sheetName val="COP"/>
      <sheetName val="CFL-KIM"/>
      <sheetName val="XLR_NoRangeSheet"/>
      <sheetName val="B&amp;CM LIST"/>
      <sheetName val="Licensee Information"/>
      <sheetName val="dpc_cost5"/>
      <sheetName val="HLY_-99-005"/>
      <sheetName val="Hydro_Data5"/>
      <sheetName val="Plant_Availability5"/>
      <sheetName val="Discom_Details3"/>
      <sheetName val="A_3_73"/>
      <sheetName val="C_S_GENERATION3"/>
      <sheetName val="Cash_Flow2"/>
      <sheetName val="DCL_AUG_121"/>
      <sheetName val="Index_Feb_091"/>
      <sheetName val="Data_base_Feb_091"/>
      <sheetName val="7_11_p13"/>
      <sheetName val="tb2002_linked"/>
      <sheetName val="4_Annex_1_Basic_rate"/>
      <sheetName val="Dispatch_2_01"/>
      <sheetName val="DETAILED__BOQ1"/>
      <sheetName val="17(B)_govt"/>
      <sheetName val="Invested_capital_VDF"/>
      <sheetName val="Conductor_Size"/>
      <sheetName val="Addl_401"/>
      <sheetName val="Staff_Acco_"/>
      <sheetName val="BLR_1"/>
      <sheetName val="B&amp;CM_LIST"/>
      <sheetName val="Licensee_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vel_qty"/>
      <sheetName val="Nov_04"/>
      <sheetName val="Dec_04"/>
      <sheetName val="Assumptions"/>
      <sheetName val="dpc cost"/>
      <sheetName val="SUMMERY"/>
      <sheetName val="dpc_cost"/>
      <sheetName val="OCM3"/>
      <sheetName val="deduction"/>
      <sheetName val="addition"/>
      <sheetName val="sep01"/>
      <sheetName val="NP"/>
      <sheetName val="PP"/>
      <sheetName val="dpc_cost1"/>
      <sheetName val="Water _balance_Dec04"/>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persons/person.xml><?xml version="1.0" encoding="utf-8"?>
<personList xmlns="http://schemas.microsoft.com/office/spreadsheetml/2018/threadedcomments" xmlns:x="http://schemas.openxmlformats.org/spreadsheetml/2006/main">
  <person displayName="Mondal, Krishnendu" id="{DD77727F-D171-4918-98AD-77C9D134D190}" userId="S::kmondal@deloitte.com::0a60aba5-548e-45d6-b4e7-3af7abb57807" providerId="AD"/>
  <person displayName="Tirpude, Nirbhay" id="{E1D1BA9B-83AE-47A7-A268-6C512EEFAEE0}" userId="S::ntirpude@deloitte.com::eab7cd42-3d4f-42ab-82aa-064bc19b59f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M13" dT="2024-11-16T11:30:23.62" personId="{E1D1BA9B-83AE-47A7-A268-6C512EEFAEE0}" id="{1252154E-3537-47B0-82D2-2D6294F800A2}">
    <text>6 Year Average Considered, due to additional expenses occurred in FY 25 such as IRP Fees, DPR Fees, External Consultant Fees etc.</text>
  </threadedComment>
</ThreadedComments>
</file>

<file path=xl/threadedComments/threadedComment2.xml><?xml version="1.0" encoding="utf-8"?>
<ThreadedComments xmlns="http://schemas.microsoft.com/office/spreadsheetml/2018/threadedcomments" xmlns:x="http://schemas.openxmlformats.org/spreadsheetml/2006/main">
  <threadedComment ref="H66" dT="2024-10-24T03:05:42.63" personId="{DD77727F-D171-4918-98AD-77C9D134D190}" id="{4152E04E-E0BE-4E9B-ADD1-8CBFD2AEBCBA}">
    <text>MSETCL 4th MYT weighted average loan</text>
  </threadedComment>
  <threadedComment ref="H82" dT="2024-10-24T03:05:42.63" personId="{DD77727F-D171-4918-98AD-77C9D134D190}" id="{070B706D-B5AA-4BF7-BC1D-590D923069A5}">
    <text>MSETCL 4th MYT weighted average loan</text>
  </threadedComment>
  <threadedComment ref="H88" dT="2024-10-24T03:05:42.63" personId="{DD77727F-D171-4918-98AD-77C9D134D190}" id="{8738B99F-5463-4428-8500-D02B33C33A1B}">
    <text>MSETCL 4th MYT weighted average loan</text>
  </threadedComment>
  <threadedComment ref="H93" dT="2024-10-24T03:05:42.63" personId="{DD77727F-D171-4918-98AD-77C9D134D190}" id="{F01BADD9-C3F0-44AD-AC5A-038649539E61}">
    <text>MSETCL 4th MYT weighted average loan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N31"/>
  <sheetViews>
    <sheetView showGridLines="0" view="pageBreakPreview" zoomScale="101" zoomScaleSheetLayoutView="100" workbookViewId="0">
      <selection activeCell="D24" sqref="D24"/>
    </sheetView>
  </sheetViews>
  <sheetFormatPr defaultColWidth="9.140625" defaultRowHeight="13.9"/>
  <cols>
    <col min="1" max="1" width="6.42578125" style="3" customWidth="1"/>
    <col min="2" max="2" width="7" style="39" customWidth="1"/>
    <col min="3" max="3" width="69.5703125" style="3" customWidth="1"/>
    <col min="4" max="4" width="19.5703125" style="3" customWidth="1"/>
    <col min="5" max="5" width="5.5703125" style="3" customWidth="1"/>
    <col min="6" max="14" width="18.5703125" style="3" customWidth="1"/>
    <col min="15" max="16384" width="9.140625" style="3"/>
  </cols>
  <sheetData>
    <row r="1" spans="2:14" ht="17.25" customHeight="1"/>
    <row r="2" spans="2:14">
      <c r="B2" s="742" t="s">
        <v>0</v>
      </c>
      <c r="C2" s="742"/>
      <c r="D2" s="742"/>
      <c r="E2" s="121"/>
      <c r="F2" s="121"/>
      <c r="G2" s="121"/>
      <c r="H2" s="121"/>
      <c r="I2" s="121"/>
      <c r="J2" s="121"/>
      <c r="K2" s="121"/>
      <c r="L2" s="121"/>
      <c r="M2" s="121"/>
      <c r="N2" s="121"/>
    </row>
    <row r="3" spans="2:14" s="1" customFormat="1" ht="15" customHeight="1">
      <c r="B3" s="743" t="s">
        <v>1</v>
      </c>
      <c r="C3" s="743"/>
      <c r="D3" s="743"/>
      <c r="E3" s="121"/>
      <c r="F3" s="121"/>
      <c r="G3" s="121"/>
      <c r="H3" s="121"/>
      <c r="I3" s="121"/>
      <c r="J3" s="121"/>
      <c r="K3" s="121"/>
      <c r="L3" s="121"/>
      <c r="M3" s="121"/>
      <c r="N3" s="121"/>
    </row>
    <row r="5" spans="2:14">
      <c r="M5" s="5"/>
    </row>
    <row r="6" spans="2:14" ht="12.75" customHeight="1">
      <c r="B6" s="744" t="s">
        <v>2</v>
      </c>
      <c r="C6" s="746" t="s">
        <v>3</v>
      </c>
      <c r="D6" s="746" t="s">
        <v>4</v>
      </c>
    </row>
    <row r="7" spans="2:14">
      <c r="B7" s="744"/>
      <c r="C7" s="746"/>
      <c r="D7" s="746"/>
    </row>
    <row r="8" spans="2:14">
      <c r="B8" s="745"/>
      <c r="C8" s="747"/>
      <c r="D8" s="747"/>
    </row>
    <row r="9" spans="2:14" ht="18" customHeight="1">
      <c r="B9" s="38">
        <v>1</v>
      </c>
      <c r="C9" s="122" t="s">
        <v>5</v>
      </c>
      <c r="D9" s="123" t="s">
        <v>6</v>
      </c>
    </row>
    <row r="10" spans="2:14" ht="18" customHeight="1">
      <c r="B10" s="38">
        <f>B9+1</f>
        <v>2</v>
      </c>
      <c r="C10" s="122" t="s">
        <v>7</v>
      </c>
      <c r="D10" s="123" t="s">
        <v>8</v>
      </c>
    </row>
    <row r="11" spans="2:14" ht="18" customHeight="1">
      <c r="B11" s="38">
        <f t="shared" ref="B11:B17" si="0">B10+1</f>
        <v>3</v>
      </c>
      <c r="C11" s="122" t="s">
        <v>9</v>
      </c>
      <c r="D11" s="123" t="s">
        <v>10</v>
      </c>
    </row>
    <row r="12" spans="2:14" ht="18" customHeight="1">
      <c r="B12" s="38">
        <v>4</v>
      </c>
      <c r="C12" s="122" t="s">
        <v>11</v>
      </c>
      <c r="D12" s="123" t="s">
        <v>12</v>
      </c>
    </row>
    <row r="13" spans="2:14" ht="18" customHeight="1">
      <c r="B13" s="38">
        <f t="shared" si="0"/>
        <v>5</v>
      </c>
      <c r="C13" s="224" t="s">
        <v>13</v>
      </c>
      <c r="D13" s="123" t="s">
        <v>14</v>
      </c>
    </row>
    <row r="14" spans="2:14" ht="18" customHeight="1">
      <c r="B14" s="38">
        <f t="shared" si="0"/>
        <v>6</v>
      </c>
      <c r="C14" s="225" t="s">
        <v>15</v>
      </c>
      <c r="D14" s="123" t="s">
        <v>16</v>
      </c>
    </row>
    <row r="15" spans="2:14" ht="18" customHeight="1">
      <c r="B15" s="38">
        <f t="shared" si="0"/>
        <v>7</v>
      </c>
      <c r="C15" s="124" t="s">
        <v>17</v>
      </c>
      <c r="D15" s="123" t="s">
        <v>18</v>
      </c>
    </row>
    <row r="16" spans="2:14" ht="18" customHeight="1">
      <c r="B16" s="38">
        <f t="shared" si="0"/>
        <v>8</v>
      </c>
      <c r="C16" s="122" t="s">
        <v>19</v>
      </c>
      <c r="D16" s="123" t="s">
        <v>20</v>
      </c>
    </row>
    <row r="17" spans="2:4" ht="18" customHeight="1">
      <c r="B17" s="38">
        <f t="shared" si="0"/>
        <v>9</v>
      </c>
      <c r="C17" s="122" t="s">
        <v>21</v>
      </c>
      <c r="D17" s="123" t="s">
        <v>22</v>
      </c>
    </row>
    <row r="18" spans="2:4" ht="18" customHeight="1">
      <c r="B18" s="38">
        <f t="shared" ref="B18:B31" si="1">B17+1</f>
        <v>10</v>
      </c>
      <c r="C18" s="122" t="s">
        <v>23</v>
      </c>
      <c r="D18" s="123" t="s">
        <v>24</v>
      </c>
    </row>
    <row r="19" spans="2:4" ht="18" customHeight="1">
      <c r="B19" s="38">
        <f t="shared" si="1"/>
        <v>11</v>
      </c>
      <c r="C19" s="122" t="s">
        <v>25</v>
      </c>
      <c r="D19" s="123" t="s">
        <v>26</v>
      </c>
    </row>
    <row r="20" spans="2:4" ht="42.6" customHeight="1">
      <c r="B20" s="38">
        <f t="shared" si="1"/>
        <v>12</v>
      </c>
      <c r="C20" s="270" t="s">
        <v>27</v>
      </c>
      <c r="D20" s="123" t="s">
        <v>28</v>
      </c>
    </row>
    <row r="21" spans="2:4" ht="43.15" customHeight="1">
      <c r="B21" s="38">
        <f t="shared" si="1"/>
        <v>13</v>
      </c>
      <c r="C21" s="271" t="s">
        <v>29</v>
      </c>
      <c r="D21" s="123" t="s">
        <v>30</v>
      </c>
    </row>
    <row r="22" spans="2:4" ht="43.15" customHeight="1">
      <c r="B22" s="38">
        <f t="shared" si="1"/>
        <v>14</v>
      </c>
      <c r="C22" s="125" t="s">
        <v>31</v>
      </c>
      <c r="D22" s="123" t="s">
        <v>32</v>
      </c>
    </row>
    <row r="23" spans="2:4" ht="18" customHeight="1">
      <c r="B23" s="38">
        <f t="shared" si="1"/>
        <v>15</v>
      </c>
      <c r="C23" s="125" t="s">
        <v>33</v>
      </c>
      <c r="D23" s="123" t="s">
        <v>34</v>
      </c>
    </row>
    <row r="24" spans="2:4" ht="18" customHeight="1">
      <c r="B24" s="38">
        <f t="shared" si="1"/>
        <v>16</v>
      </c>
      <c r="C24" s="122" t="s">
        <v>35</v>
      </c>
      <c r="D24" s="123" t="s">
        <v>36</v>
      </c>
    </row>
    <row r="25" spans="2:4" ht="18" customHeight="1">
      <c r="B25" s="38">
        <f t="shared" si="1"/>
        <v>17</v>
      </c>
      <c r="C25" s="122" t="s">
        <v>37</v>
      </c>
      <c r="D25" s="123" t="s">
        <v>38</v>
      </c>
    </row>
    <row r="26" spans="2:4" ht="18" customHeight="1">
      <c r="B26" s="38">
        <f t="shared" si="1"/>
        <v>18</v>
      </c>
      <c r="C26" s="122" t="s">
        <v>39</v>
      </c>
      <c r="D26" s="123" t="s">
        <v>40</v>
      </c>
    </row>
    <row r="27" spans="2:4">
      <c r="B27" s="38">
        <f t="shared" si="1"/>
        <v>19</v>
      </c>
      <c r="C27" s="122" t="s">
        <v>41</v>
      </c>
      <c r="D27" s="123" t="s">
        <v>42</v>
      </c>
    </row>
    <row r="28" spans="2:4">
      <c r="B28" s="38">
        <f t="shared" si="1"/>
        <v>20</v>
      </c>
      <c r="C28" s="122" t="s">
        <v>43</v>
      </c>
      <c r="D28" s="123" t="s">
        <v>44</v>
      </c>
    </row>
    <row r="29" spans="2:4">
      <c r="B29" s="38">
        <f t="shared" si="1"/>
        <v>21</v>
      </c>
      <c r="C29" s="122" t="s">
        <v>45</v>
      </c>
      <c r="D29" s="123" t="s">
        <v>46</v>
      </c>
    </row>
    <row r="30" spans="2:4">
      <c r="B30" s="38">
        <f t="shared" si="1"/>
        <v>22</v>
      </c>
      <c r="C30" s="122" t="s">
        <v>47</v>
      </c>
      <c r="D30" s="123" t="s">
        <v>48</v>
      </c>
    </row>
    <row r="31" spans="2:4">
      <c r="B31" s="38">
        <f t="shared" si="1"/>
        <v>23</v>
      </c>
      <c r="C31" s="122" t="s">
        <v>49</v>
      </c>
      <c r="D31" s="123" t="s">
        <v>50</v>
      </c>
    </row>
  </sheetData>
  <mergeCells count="5">
    <mergeCell ref="B2:D2"/>
    <mergeCell ref="B3:D3"/>
    <mergeCell ref="B6:B8"/>
    <mergeCell ref="C6:C8"/>
    <mergeCell ref="D6:D8"/>
  </mergeCells>
  <phoneticPr fontId="0" type="noConversion"/>
  <pageMargins left="1.02" right="0.25" top="1" bottom="1" header="0.25" footer="0.25"/>
  <pageSetup paperSize="9" scale="67" orientation="portrait" r:id="rId1"/>
  <headerFooter alignWithMargins="0">
    <oddHeader>&amp;F</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B101"/>
  <sheetViews>
    <sheetView showGridLines="0" view="pageBreakPreview" zoomScale="61" zoomScaleNormal="70" zoomScaleSheetLayoutView="70" workbookViewId="0">
      <pane xSplit="2" ySplit="10" topLeftCell="C33" activePane="bottomRight" state="frozen"/>
      <selection pane="bottomRight" activeCell="F93" sqref="F93"/>
      <selection pane="bottomLeft" activeCell="A11" sqref="A11"/>
      <selection pane="topRight" activeCell="C1" sqref="C1"/>
    </sheetView>
  </sheetViews>
  <sheetFormatPr defaultColWidth="9.140625" defaultRowHeight="13.9"/>
  <cols>
    <col min="1" max="1" width="4.5703125" style="70" customWidth="1"/>
    <col min="2" max="2" width="40.28515625" style="70" customWidth="1"/>
    <col min="3" max="5" width="15.5703125" style="70" customWidth="1"/>
    <col min="6" max="6" width="20.140625" style="70" customWidth="1"/>
    <col min="7" max="7" width="17.42578125" style="70" customWidth="1"/>
    <col min="8" max="8" width="14.42578125" style="70" customWidth="1"/>
    <col min="9" max="9" width="15.42578125" style="79" customWidth="1"/>
    <col min="10" max="13" width="15.42578125" style="70" customWidth="1"/>
    <col min="14" max="18" width="16.42578125" style="70" customWidth="1"/>
    <col min="19" max="19" width="17.42578125" style="70" customWidth="1"/>
    <col min="20" max="20" width="12.5703125" style="70" customWidth="1"/>
    <col min="21" max="21" width="14" style="70" customWidth="1"/>
    <col min="22" max="24" width="12.5703125" style="70" customWidth="1"/>
    <col min="25" max="25" width="15.42578125" style="70" customWidth="1"/>
    <col min="26" max="26" width="12.5703125" style="70" customWidth="1"/>
    <col min="27" max="27" width="13.42578125" style="70" customWidth="1"/>
    <col min="28" max="28" width="13.5703125" style="70" customWidth="1"/>
    <col min="29" max="16384" width="9.140625" style="70"/>
  </cols>
  <sheetData>
    <row r="1" spans="2:28" ht="15.75" customHeight="1"/>
    <row r="2" spans="2:28" ht="15" customHeight="1">
      <c r="C2" s="102"/>
      <c r="D2" s="102"/>
      <c r="E2" s="102"/>
      <c r="F2" s="102"/>
      <c r="G2" s="55" t="s">
        <v>0</v>
      </c>
      <c r="H2" s="102"/>
      <c r="I2" s="129"/>
      <c r="J2" s="102"/>
      <c r="K2" s="102"/>
      <c r="L2" s="103"/>
      <c r="M2" s="103"/>
      <c r="N2" s="103"/>
      <c r="O2" s="103"/>
      <c r="P2" s="103"/>
      <c r="Q2" s="103"/>
      <c r="R2" s="103"/>
      <c r="S2" s="103"/>
    </row>
    <row r="3" spans="2:28" ht="15" customHeight="1">
      <c r="C3" s="104"/>
      <c r="D3" s="104"/>
      <c r="E3" s="104"/>
      <c r="F3" s="104"/>
      <c r="G3" s="55" t="s">
        <v>1</v>
      </c>
      <c r="H3" s="104"/>
      <c r="I3" s="81"/>
      <c r="J3" s="104"/>
      <c r="K3" s="104"/>
      <c r="L3" s="105"/>
      <c r="M3" s="105"/>
      <c r="N3" s="105"/>
      <c r="O3" s="105"/>
      <c r="P3" s="105"/>
      <c r="Q3" s="105"/>
      <c r="R3" s="105"/>
      <c r="S3" s="105"/>
      <c r="T3" s="84"/>
      <c r="U3" s="84"/>
      <c r="V3" s="84"/>
      <c r="W3" s="84"/>
    </row>
    <row r="4" spans="2:28" ht="15" customHeight="1">
      <c r="C4" s="85"/>
      <c r="D4" s="85"/>
      <c r="E4" s="85"/>
      <c r="F4" s="85"/>
      <c r="G4" s="86" t="s">
        <v>325</v>
      </c>
      <c r="H4" s="85"/>
      <c r="I4" s="110"/>
      <c r="J4" s="85"/>
      <c r="K4" s="85"/>
      <c r="L4" s="87"/>
      <c r="M4" s="87"/>
      <c r="N4" s="87"/>
      <c r="O4" s="87"/>
      <c r="P4" s="87"/>
      <c r="Q4" s="87"/>
      <c r="R4" s="87"/>
      <c r="S4" s="87"/>
      <c r="T4" s="84"/>
      <c r="U4" s="84"/>
      <c r="V4" s="84"/>
      <c r="W4" s="84"/>
    </row>
    <row r="5" spans="2:28">
      <c r="B5" s="88"/>
      <c r="C5" s="89"/>
      <c r="D5" s="89"/>
      <c r="E5" s="89"/>
      <c r="F5" s="84"/>
      <c r="G5" s="84"/>
      <c r="H5" s="84"/>
      <c r="J5" s="84"/>
      <c r="K5" s="84"/>
      <c r="L5" s="84"/>
      <c r="M5" s="84"/>
      <c r="N5" s="84"/>
      <c r="O5" s="84"/>
      <c r="P5" s="84"/>
      <c r="Q5" s="84"/>
      <c r="R5" s="84"/>
      <c r="S5" s="84"/>
      <c r="T5" s="84"/>
      <c r="U5" s="84"/>
      <c r="V5" s="84"/>
      <c r="W5" s="84"/>
      <c r="X5" s="84"/>
      <c r="Y5" s="84"/>
      <c r="Z5" s="84"/>
      <c r="AA5" s="84"/>
      <c r="AB5" s="84"/>
    </row>
    <row r="6" spans="2:28" ht="15.75" customHeight="1">
      <c r="B6" s="89" t="s">
        <v>326</v>
      </c>
      <c r="F6" s="84"/>
      <c r="G6" s="84"/>
      <c r="H6" s="84"/>
      <c r="J6" s="84"/>
      <c r="K6" s="84"/>
      <c r="L6" s="84"/>
      <c r="M6" s="84"/>
      <c r="N6" s="84"/>
      <c r="O6" s="84"/>
      <c r="P6" s="84"/>
      <c r="Q6" s="84"/>
      <c r="R6" s="84"/>
      <c r="S6" s="84"/>
      <c r="T6" s="84"/>
      <c r="U6" s="84"/>
      <c r="V6" s="84"/>
      <c r="W6" s="84"/>
      <c r="X6" s="84"/>
      <c r="Y6" s="84"/>
      <c r="Z6" s="84"/>
      <c r="AA6" s="84"/>
      <c r="AB6" s="84"/>
    </row>
    <row r="7" spans="2:28">
      <c r="B7" s="88"/>
      <c r="C7" s="88"/>
      <c r="D7" s="88"/>
      <c r="E7" s="88"/>
      <c r="F7" s="84"/>
      <c r="G7" s="84"/>
      <c r="H7" s="84"/>
      <c r="J7" s="84"/>
      <c r="K7" s="84"/>
      <c r="L7" s="84"/>
      <c r="M7" s="84"/>
      <c r="S7" s="90" t="s">
        <v>52</v>
      </c>
      <c r="T7" s="90"/>
      <c r="U7" s="90"/>
      <c r="V7" s="90"/>
      <c r="W7" s="90"/>
      <c r="X7" s="90"/>
      <c r="Y7" s="84"/>
      <c r="Z7" s="84"/>
      <c r="AA7" s="84"/>
    </row>
    <row r="8" spans="2:28" s="76" customFormat="1" ht="14.1" customHeight="1">
      <c r="B8" s="800" t="s">
        <v>327</v>
      </c>
      <c r="C8" s="800" t="s">
        <v>328</v>
      </c>
      <c r="D8" s="800" t="s">
        <v>329</v>
      </c>
      <c r="E8" s="800" t="s">
        <v>330</v>
      </c>
      <c r="F8" s="800" t="s">
        <v>331</v>
      </c>
      <c r="G8" s="793" t="s">
        <v>332</v>
      </c>
      <c r="H8" s="794"/>
      <c r="I8" s="795"/>
      <c r="J8" s="793" t="s">
        <v>333</v>
      </c>
      <c r="K8" s="794"/>
      <c r="L8" s="795"/>
      <c r="M8" s="793" t="s">
        <v>334</v>
      </c>
      <c r="N8" s="794"/>
      <c r="O8" s="794"/>
      <c r="P8" s="794"/>
      <c r="Q8" s="794"/>
      <c r="R8" s="794"/>
      <c r="S8" s="795"/>
    </row>
    <row r="9" spans="2:28" s="76" customFormat="1">
      <c r="B9" s="803"/>
      <c r="C9" s="803"/>
      <c r="D9" s="803"/>
      <c r="E9" s="803"/>
      <c r="F9" s="803"/>
      <c r="G9" s="804" t="s">
        <v>335</v>
      </c>
      <c r="H9" s="804" t="s">
        <v>336</v>
      </c>
      <c r="I9" s="804" t="s">
        <v>337</v>
      </c>
      <c r="J9" s="804" t="s">
        <v>335</v>
      </c>
      <c r="K9" s="804" t="s">
        <v>336</v>
      </c>
      <c r="L9" s="804" t="s">
        <v>257</v>
      </c>
      <c r="M9" s="804" t="s">
        <v>338</v>
      </c>
      <c r="N9" s="800" t="s">
        <v>339</v>
      </c>
      <c r="O9" s="806" t="s">
        <v>340</v>
      </c>
      <c r="P9" s="807"/>
      <c r="Q9" s="807"/>
      <c r="R9" s="807"/>
      <c r="S9" s="808"/>
    </row>
    <row r="10" spans="2:28" s="76" customFormat="1" ht="27.6">
      <c r="B10" s="801"/>
      <c r="C10" s="801"/>
      <c r="D10" s="801"/>
      <c r="E10" s="801"/>
      <c r="F10" s="801"/>
      <c r="G10" s="805"/>
      <c r="H10" s="805"/>
      <c r="I10" s="805"/>
      <c r="J10" s="805"/>
      <c r="K10" s="805"/>
      <c r="L10" s="805"/>
      <c r="M10" s="805"/>
      <c r="N10" s="801"/>
      <c r="O10" s="206" t="s">
        <v>341</v>
      </c>
      <c r="P10" s="206" t="s">
        <v>342</v>
      </c>
      <c r="Q10" s="206" t="s">
        <v>343</v>
      </c>
      <c r="R10" s="206" t="s">
        <v>344</v>
      </c>
      <c r="S10" s="206" t="s">
        <v>345</v>
      </c>
    </row>
    <row r="11" spans="2:28">
      <c r="B11" s="164" t="s">
        <v>56</v>
      </c>
      <c r="C11" s="91"/>
      <c r="D11" s="91"/>
      <c r="E11" s="91"/>
      <c r="F11" s="91"/>
      <c r="G11" s="91"/>
      <c r="H11" s="91"/>
      <c r="I11" s="111"/>
      <c r="J11" s="91"/>
      <c r="K11" s="91"/>
      <c r="L11" s="91"/>
      <c r="M11" s="91"/>
      <c r="N11" s="226"/>
      <c r="O11" s="226"/>
      <c r="P11" s="226"/>
      <c r="Q11" s="226"/>
      <c r="R11" s="226"/>
      <c r="S11" s="96"/>
    </row>
    <row r="12" spans="2:28">
      <c r="B12" s="164" t="s">
        <v>346</v>
      </c>
      <c r="C12" s="91"/>
      <c r="D12" s="91"/>
      <c r="E12" s="91"/>
      <c r="F12" s="91"/>
      <c r="G12" s="91"/>
      <c r="H12" s="91"/>
      <c r="I12" s="111"/>
      <c r="J12" s="91"/>
      <c r="K12" s="91"/>
      <c r="L12" s="91"/>
      <c r="M12" s="91"/>
      <c r="N12" s="226"/>
      <c r="O12" s="226"/>
      <c r="P12" s="226"/>
      <c r="Q12" s="226"/>
      <c r="R12" s="226"/>
      <c r="S12" s="96"/>
    </row>
    <row r="13" spans="2:28">
      <c r="B13" s="165" t="s">
        <v>347</v>
      </c>
      <c r="C13" s="91"/>
      <c r="D13" s="91"/>
      <c r="E13" s="91"/>
      <c r="F13" s="91"/>
      <c r="G13" s="91"/>
      <c r="H13" s="91"/>
      <c r="I13" s="111"/>
      <c r="J13" s="91"/>
      <c r="K13" s="91"/>
      <c r="L13" s="91"/>
      <c r="M13" s="91"/>
      <c r="N13" s="226"/>
      <c r="O13" s="226"/>
      <c r="P13" s="226"/>
      <c r="Q13" s="226"/>
      <c r="R13" s="226"/>
      <c r="S13" s="96"/>
    </row>
    <row r="14" spans="2:28">
      <c r="B14" s="159" t="s">
        <v>348</v>
      </c>
      <c r="C14" s="91"/>
      <c r="D14" s="91"/>
      <c r="E14" s="91"/>
      <c r="F14" s="91"/>
      <c r="G14" s="91"/>
      <c r="H14" s="91"/>
      <c r="I14" s="111"/>
      <c r="J14" s="91"/>
      <c r="K14" s="91"/>
      <c r="L14" s="91"/>
      <c r="M14" s="91"/>
      <c r="N14" s="226"/>
      <c r="O14" s="226"/>
      <c r="P14" s="226"/>
      <c r="Q14" s="226"/>
      <c r="R14" s="226"/>
      <c r="S14" s="96"/>
    </row>
    <row r="15" spans="2:28">
      <c r="B15" s="159" t="s">
        <v>348</v>
      </c>
      <c r="C15" s="348"/>
      <c r="D15" s="348"/>
      <c r="E15" s="348"/>
      <c r="F15" s="348"/>
      <c r="G15" s="348"/>
      <c r="H15" s="348"/>
      <c r="I15" s="349"/>
      <c r="J15" s="348"/>
      <c r="K15" s="348"/>
      <c r="L15" s="348"/>
      <c r="M15" s="348"/>
      <c r="N15" s="226"/>
      <c r="O15" s="226"/>
      <c r="P15" s="226"/>
      <c r="Q15" s="226"/>
      <c r="R15" s="226"/>
      <c r="S15" s="96"/>
    </row>
    <row r="16" spans="2:28">
      <c r="B16" s="346" t="s">
        <v>349</v>
      </c>
      <c r="C16" s="92"/>
      <c r="D16" s="92"/>
      <c r="E16" s="92"/>
      <c r="F16" s="92"/>
      <c r="G16" s="92"/>
      <c r="H16" s="92"/>
      <c r="I16" s="74"/>
      <c r="J16" s="92"/>
      <c r="K16" s="92"/>
      <c r="L16" s="92"/>
      <c r="M16" s="92"/>
      <c r="N16" s="347"/>
      <c r="O16" s="226"/>
      <c r="P16" s="226"/>
      <c r="Q16" s="226"/>
      <c r="R16" s="226"/>
      <c r="S16" s="96"/>
    </row>
    <row r="17" spans="2:19">
      <c r="B17" s="159" t="s">
        <v>348</v>
      </c>
      <c r="C17" s="350"/>
      <c r="D17" s="351"/>
      <c r="E17" s="351"/>
      <c r="F17" s="351"/>
      <c r="G17" s="351"/>
      <c r="H17" s="351"/>
      <c r="I17" s="352"/>
      <c r="J17" s="351"/>
      <c r="K17" s="351"/>
      <c r="L17" s="351"/>
      <c r="M17" s="351"/>
      <c r="N17" s="226"/>
      <c r="O17" s="226"/>
      <c r="P17" s="226"/>
      <c r="Q17" s="226"/>
      <c r="R17" s="226"/>
      <c r="S17" s="96"/>
    </row>
    <row r="18" spans="2:19">
      <c r="B18" s="159" t="s">
        <v>348</v>
      </c>
      <c r="C18" s="91"/>
      <c r="D18" s="91"/>
      <c r="E18" s="91"/>
      <c r="F18" s="91"/>
      <c r="G18" s="91"/>
      <c r="H18" s="91"/>
      <c r="I18" s="111"/>
      <c r="J18" s="91"/>
      <c r="K18" s="91"/>
      <c r="L18" s="91"/>
      <c r="M18" s="91"/>
      <c r="N18" s="226"/>
      <c r="O18" s="226"/>
      <c r="P18" s="226"/>
      <c r="Q18" s="226"/>
      <c r="R18" s="226"/>
      <c r="S18" s="96"/>
    </row>
    <row r="19" spans="2:19" ht="41.45">
      <c r="B19" s="163" t="s">
        <v>350</v>
      </c>
      <c r="C19" s="333" t="s">
        <v>351</v>
      </c>
      <c r="D19" s="91"/>
      <c r="E19" s="91"/>
      <c r="F19" s="91"/>
      <c r="G19" s="91"/>
      <c r="H19" s="91"/>
      <c r="I19" s="111"/>
      <c r="J19" s="91"/>
      <c r="K19" s="91"/>
      <c r="L19" s="91"/>
      <c r="M19" s="629">
        <f>19976220/10^5</f>
        <v>199.76220000000001</v>
      </c>
      <c r="N19" s="226"/>
      <c r="O19" s="226"/>
      <c r="P19" s="226"/>
      <c r="Q19" s="226"/>
      <c r="R19" s="226"/>
      <c r="S19" s="96"/>
    </row>
    <row r="20" spans="2:19">
      <c r="B20" s="159" t="s">
        <v>348</v>
      </c>
      <c r="C20" s="92"/>
      <c r="D20" s="92"/>
      <c r="E20" s="92"/>
      <c r="F20" s="92"/>
      <c r="G20" s="92"/>
      <c r="H20" s="92"/>
      <c r="I20" s="74"/>
      <c r="J20" s="92"/>
      <c r="K20" s="92"/>
      <c r="L20" s="92"/>
      <c r="N20" s="227"/>
      <c r="O20" s="227"/>
      <c r="P20" s="227"/>
      <c r="Q20" s="227"/>
      <c r="R20" s="227"/>
      <c r="S20" s="94"/>
    </row>
    <row r="21" spans="2:19">
      <c r="B21" s="159" t="s">
        <v>348</v>
      </c>
      <c r="C21" s="92"/>
      <c r="D21" s="92"/>
      <c r="E21" s="92"/>
      <c r="F21" s="92"/>
      <c r="G21" s="92"/>
      <c r="H21" s="92"/>
      <c r="I21" s="74"/>
      <c r="J21" s="92"/>
      <c r="K21" s="92"/>
      <c r="L21" s="92"/>
      <c r="M21" s="92"/>
      <c r="N21" s="227"/>
      <c r="O21" s="227"/>
      <c r="P21" s="227"/>
      <c r="Q21" s="227"/>
      <c r="R21" s="227"/>
      <c r="S21" s="94"/>
    </row>
    <row r="22" spans="2:19">
      <c r="B22" s="166"/>
      <c r="C22" s="92"/>
      <c r="D22" s="92"/>
      <c r="E22" s="92"/>
      <c r="F22" s="92"/>
      <c r="G22" s="92"/>
      <c r="H22" s="92"/>
      <c r="I22" s="74"/>
      <c r="J22" s="92"/>
      <c r="K22" s="92"/>
      <c r="L22" s="92"/>
      <c r="M22" s="92"/>
      <c r="N22" s="227"/>
      <c r="O22" s="227"/>
      <c r="P22" s="227"/>
      <c r="Q22" s="227"/>
      <c r="R22" s="227"/>
      <c r="S22" s="94"/>
    </row>
    <row r="23" spans="2:19">
      <c r="B23" s="164" t="s">
        <v>57</v>
      </c>
      <c r="C23" s="92"/>
      <c r="D23" s="92"/>
      <c r="E23" s="92"/>
      <c r="F23" s="92"/>
      <c r="G23" s="92"/>
      <c r="H23" s="92"/>
      <c r="I23" s="74"/>
      <c r="J23" s="92"/>
      <c r="K23" s="92"/>
      <c r="L23" s="92"/>
      <c r="M23" s="92"/>
      <c r="N23" s="227"/>
      <c r="O23" s="227"/>
      <c r="P23" s="227"/>
      <c r="Q23" s="227"/>
      <c r="R23" s="227"/>
      <c r="S23" s="94"/>
    </row>
    <row r="24" spans="2:19">
      <c r="B24" s="164" t="s">
        <v>346</v>
      </c>
      <c r="C24" s="92"/>
      <c r="D24" s="92"/>
      <c r="E24" s="92"/>
      <c r="F24" s="92"/>
      <c r="G24" s="92"/>
      <c r="H24" s="92"/>
      <c r="I24" s="74"/>
      <c r="J24" s="92"/>
      <c r="K24" s="92"/>
      <c r="L24" s="92"/>
      <c r="M24" s="92"/>
      <c r="N24" s="227"/>
      <c r="O24" s="227"/>
      <c r="P24" s="227"/>
      <c r="Q24" s="227"/>
      <c r="R24" s="227"/>
      <c r="S24" s="94"/>
    </row>
    <row r="25" spans="2:19">
      <c r="B25" s="165" t="s">
        <v>347</v>
      </c>
      <c r="C25" s="92"/>
      <c r="D25" s="92"/>
      <c r="E25" s="92"/>
      <c r="F25" s="92"/>
      <c r="G25" s="92"/>
      <c r="H25" s="92"/>
      <c r="I25" s="74"/>
      <c r="J25" s="92"/>
      <c r="K25" s="92"/>
      <c r="L25" s="92"/>
      <c r="M25" s="92"/>
      <c r="N25" s="227"/>
      <c r="O25" s="227"/>
      <c r="P25" s="227"/>
      <c r="Q25" s="227"/>
      <c r="R25" s="227"/>
      <c r="S25" s="94"/>
    </row>
    <row r="26" spans="2:19">
      <c r="B26" s="159" t="s">
        <v>348</v>
      </c>
      <c r="C26" s="92"/>
      <c r="D26" s="92"/>
      <c r="E26" s="92"/>
      <c r="F26" s="92"/>
      <c r="G26" s="92"/>
      <c r="H26" s="92"/>
      <c r="I26" s="74"/>
      <c r="J26" s="92"/>
      <c r="K26" s="92"/>
      <c r="L26" s="92"/>
      <c r="M26" s="92"/>
      <c r="N26" s="227"/>
      <c r="O26" s="227"/>
      <c r="P26" s="227"/>
      <c r="Q26" s="227"/>
      <c r="R26" s="227"/>
      <c r="S26" s="94"/>
    </row>
    <row r="27" spans="2:19">
      <c r="B27" s="491" t="s">
        <v>348</v>
      </c>
      <c r="C27" s="353"/>
      <c r="D27" s="353"/>
      <c r="E27" s="353"/>
      <c r="F27" s="353"/>
      <c r="G27" s="353"/>
      <c r="H27" s="353"/>
      <c r="I27" s="492"/>
      <c r="J27" s="353"/>
      <c r="K27" s="353"/>
      <c r="L27" s="353"/>
      <c r="M27" s="353"/>
      <c r="N27" s="227"/>
      <c r="O27" s="227"/>
      <c r="P27" s="227"/>
      <c r="Q27" s="227"/>
      <c r="R27" s="227"/>
      <c r="S27" s="94"/>
    </row>
    <row r="28" spans="2:19">
      <c r="B28" s="165" t="s">
        <v>349</v>
      </c>
      <c r="C28" s="92"/>
      <c r="D28" s="92"/>
      <c r="E28" s="92"/>
      <c r="F28" s="92"/>
      <c r="G28" s="92"/>
      <c r="H28" s="92"/>
      <c r="I28" s="74"/>
      <c r="J28" s="92"/>
      <c r="K28" s="92"/>
      <c r="L28" s="92"/>
      <c r="M28" s="92"/>
      <c r="N28" s="490"/>
      <c r="O28" s="227"/>
      <c r="P28" s="227"/>
      <c r="Q28" s="227"/>
      <c r="R28" s="227"/>
      <c r="S28" s="94"/>
    </row>
    <row r="29" spans="2:19">
      <c r="B29" s="493" t="s">
        <v>348</v>
      </c>
      <c r="C29" s="350"/>
      <c r="D29" s="350"/>
      <c r="E29" s="350"/>
      <c r="F29" s="350"/>
      <c r="G29" s="350"/>
      <c r="H29" s="350"/>
      <c r="I29" s="494"/>
      <c r="J29" s="350"/>
      <c r="K29" s="350"/>
      <c r="L29" s="350"/>
      <c r="M29" s="350"/>
      <c r="N29" s="227"/>
      <c r="O29" s="227"/>
      <c r="P29" s="227"/>
      <c r="Q29" s="227"/>
      <c r="R29" s="227"/>
      <c r="S29" s="94"/>
    </row>
    <row r="30" spans="2:19">
      <c r="B30" s="159" t="s">
        <v>348</v>
      </c>
      <c r="C30" s="92"/>
      <c r="D30" s="92"/>
      <c r="E30" s="92"/>
      <c r="F30" s="92"/>
      <c r="G30" s="92"/>
      <c r="H30" s="92"/>
      <c r="I30" s="74"/>
      <c r="J30" s="92"/>
      <c r="K30" s="92"/>
      <c r="L30" s="92"/>
      <c r="M30" s="92"/>
      <c r="N30" s="227"/>
      <c r="O30" s="227"/>
      <c r="P30" s="227"/>
      <c r="Q30" s="227"/>
      <c r="R30" s="227"/>
      <c r="S30" s="94"/>
    </row>
    <row r="31" spans="2:19">
      <c r="B31" s="163" t="s">
        <v>350</v>
      </c>
      <c r="C31" s="92" t="s">
        <v>352</v>
      </c>
      <c r="D31" s="92"/>
      <c r="E31" s="92"/>
      <c r="F31" s="92"/>
      <c r="G31" s="92"/>
      <c r="H31" s="92"/>
      <c r="I31" s="74"/>
      <c r="J31" s="92"/>
      <c r="K31" s="92"/>
      <c r="L31" s="92"/>
      <c r="M31" s="92">
        <v>30</v>
      </c>
      <c r="N31" s="227"/>
      <c r="O31" s="227"/>
      <c r="P31" s="227"/>
      <c r="Q31" s="227"/>
      <c r="R31" s="227"/>
      <c r="S31" s="94"/>
    </row>
    <row r="32" spans="2:19">
      <c r="B32" s="159" t="s">
        <v>348</v>
      </c>
      <c r="C32" s="92"/>
      <c r="D32" s="92"/>
      <c r="E32" s="92"/>
      <c r="F32" s="92"/>
      <c r="G32" s="92"/>
      <c r="H32" s="92"/>
      <c r="I32" s="74"/>
      <c r="J32" s="92"/>
      <c r="K32" s="92"/>
      <c r="L32" s="92"/>
      <c r="M32" s="92"/>
      <c r="N32" s="227"/>
      <c r="O32" s="227"/>
      <c r="P32" s="227"/>
      <c r="Q32" s="227"/>
      <c r="R32" s="227"/>
      <c r="S32" s="94"/>
    </row>
    <row r="33" spans="2:19">
      <c r="B33" s="159" t="s">
        <v>348</v>
      </c>
      <c r="C33" s="92"/>
      <c r="D33" s="92"/>
      <c r="E33" s="92"/>
      <c r="F33" s="92"/>
      <c r="G33" s="92"/>
      <c r="H33" s="92"/>
      <c r="I33" s="74"/>
      <c r="J33" s="92"/>
      <c r="K33" s="92"/>
      <c r="L33" s="92"/>
      <c r="M33" s="92"/>
      <c r="N33" s="227"/>
      <c r="O33" s="227"/>
      <c r="P33" s="227"/>
      <c r="Q33" s="227"/>
      <c r="R33" s="227"/>
      <c r="S33" s="94"/>
    </row>
    <row r="34" spans="2:19">
      <c r="B34" s="166"/>
      <c r="C34" s="92"/>
      <c r="D34" s="92"/>
      <c r="E34" s="92"/>
      <c r="F34" s="92"/>
      <c r="G34" s="92"/>
      <c r="H34" s="92"/>
      <c r="I34" s="74"/>
      <c r="J34" s="92"/>
      <c r="K34" s="92"/>
      <c r="L34" s="92"/>
      <c r="M34" s="92"/>
      <c r="N34" s="227"/>
      <c r="O34" s="227"/>
      <c r="P34" s="227"/>
      <c r="Q34" s="227"/>
      <c r="R34" s="227"/>
      <c r="S34" s="94"/>
    </row>
    <row r="35" spans="2:19">
      <c r="B35" s="164" t="s">
        <v>58</v>
      </c>
      <c r="C35" s="92"/>
      <c r="D35" s="92"/>
      <c r="E35" s="92"/>
      <c r="F35" s="92"/>
      <c r="G35" s="92"/>
      <c r="H35" s="92"/>
      <c r="I35" s="74"/>
      <c r="J35" s="92"/>
      <c r="K35" s="92"/>
      <c r="L35" s="92"/>
      <c r="M35" s="92"/>
      <c r="N35" s="227"/>
      <c r="O35" s="227"/>
      <c r="P35" s="227"/>
      <c r="Q35" s="227"/>
      <c r="R35" s="227"/>
      <c r="S35" s="94"/>
    </row>
    <row r="36" spans="2:19">
      <c r="B36" s="163" t="s">
        <v>350</v>
      </c>
      <c r="C36" s="92"/>
      <c r="D36" s="92"/>
      <c r="E36" s="92"/>
      <c r="F36" s="92"/>
      <c r="G36" s="92"/>
      <c r="H36" s="92"/>
      <c r="I36" s="74"/>
      <c r="J36" s="92"/>
      <c r="K36" s="92"/>
      <c r="L36" s="92"/>
      <c r="M36" s="92"/>
      <c r="N36" s="227"/>
      <c r="O36" s="227"/>
      <c r="P36" s="227"/>
      <c r="Q36" s="227"/>
      <c r="R36" s="227"/>
      <c r="S36" s="94"/>
    </row>
    <row r="37" spans="2:19" ht="41.45">
      <c r="B37" s="165" t="s">
        <v>349</v>
      </c>
      <c r="C37" s="333" t="s">
        <v>353</v>
      </c>
      <c r="D37" s="92"/>
      <c r="E37" s="92"/>
      <c r="F37" s="92"/>
      <c r="G37" s="92"/>
      <c r="H37" s="92"/>
      <c r="I37" s="74"/>
      <c r="J37" s="92"/>
      <c r="K37" s="92"/>
      <c r="L37" s="92"/>
      <c r="M37" s="92">
        <v>40</v>
      </c>
      <c r="N37" s="227"/>
      <c r="O37" s="227"/>
      <c r="P37" s="227"/>
      <c r="Q37" s="227"/>
      <c r="R37" s="227"/>
      <c r="S37" s="94"/>
    </row>
    <row r="38" spans="2:19">
      <c r="B38" s="166"/>
      <c r="C38" s="333"/>
      <c r="D38" s="92"/>
      <c r="E38" s="92"/>
      <c r="F38" s="92"/>
      <c r="G38" s="92"/>
      <c r="H38" s="92"/>
      <c r="I38" s="74"/>
      <c r="J38" s="92"/>
      <c r="K38" s="92"/>
      <c r="L38" s="92"/>
      <c r="M38" s="92"/>
      <c r="N38" s="227"/>
      <c r="O38" s="227"/>
      <c r="P38" s="227"/>
      <c r="Q38" s="227"/>
      <c r="R38" s="227"/>
      <c r="S38" s="94"/>
    </row>
    <row r="39" spans="2:19">
      <c r="B39" s="166"/>
      <c r="C39" s="333"/>
      <c r="D39" s="92"/>
      <c r="E39" s="92"/>
      <c r="F39" s="92"/>
      <c r="G39" s="92"/>
      <c r="H39" s="92"/>
      <c r="I39" s="74"/>
      <c r="J39" s="92"/>
      <c r="K39" s="92"/>
      <c r="L39" s="92"/>
      <c r="M39" s="92"/>
      <c r="N39" s="227"/>
      <c r="O39" s="227"/>
      <c r="P39" s="227"/>
      <c r="Q39" s="227"/>
      <c r="R39" s="227"/>
      <c r="S39" s="94"/>
    </row>
    <row r="40" spans="2:19">
      <c r="B40" s="166"/>
      <c r="C40" s="92"/>
      <c r="D40" s="92"/>
      <c r="E40" s="92"/>
      <c r="F40" s="92"/>
      <c r="G40" s="92"/>
      <c r="H40" s="92"/>
      <c r="I40" s="74"/>
      <c r="J40" s="92"/>
      <c r="K40" s="92"/>
      <c r="L40" s="92"/>
      <c r="M40" s="92"/>
      <c r="N40" s="227"/>
      <c r="O40" s="227"/>
      <c r="P40" s="227"/>
      <c r="Q40" s="227"/>
      <c r="R40" s="227"/>
      <c r="S40" s="94"/>
    </row>
    <row r="41" spans="2:19">
      <c r="B41" s="166"/>
      <c r="C41" s="92"/>
      <c r="D41" s="92"/>
      <c r="E41" s="92"/>
      <c r="F41" s="92"/>
      <c r="G41" s="92"/>
      <c r="H41" s="92"/>
      <c r="I41" s="74"/>
      <c r="J41" s="92"/>
      <c r="K41" s="92"/>
      <c r="L41" s="92"/>
      <c r="M41" s="92"/>
      <c r="N41" s="227"/>
      <c r="O41" s="227"/>
      <c r="P41" s="227"/>
      <c r="Q41" s="227"/>
      <c r="R41" s="227"/>
      <c r="S41" s="94"/>
    </row>
    <row r="42" spans="2:19">
      <c r="B42" s="166"/>
      <c r="C42" s="92"/>
      <c r="D42" s="92"/>
      <c r="E42" s="92"/>
      <c r="F42" s="92"/>
      <c r="G42" s="92"/>
      <c r="H42" s="92"/>
      <c r="I42" s="74"/>
      <c r="J42" s="92"/>
      <c r="K42" s="92"/>
      <c r="L42" s="92"/>
      <c r="M42" s="92"/>
      <c r="N42" s="227"/>
      <c r="O42" s="227"/>
      <c r="P42" s="227"/>
      <c r="Q42" s="227"/>
      <c r="R42" s="227"/>
      <c r="S42" s="94"/>
    </row>
    <row r="43" spans="2:19">
      <c r="B43" s="166"/>
      <c r="C43" s="92"/>
      <c r="D43" s="92"/>
      <c r="E43" s="92"/>
      <c r="F43" s="92"/>
      <c r="G43" s="92"/>
      <c r="H43" s="92"/>
      <c r="I43" s="74"/>
      <c r="J43" s="92"/>
      <c r="K43" s="92"/>
      <c r="L43" s="92"/>
      <c r="M43" s="92"/>
      <c r="N43" s="227"/>
      <c r="O43" s="227"/>
      <c r="P43" s="227"/>
      <c r="Q43" s="227"/>
      <c r="R43" s="227"/>
      <c r="S43" s="94"/>
    </row>
    <row r="44" spans="2:19">
      <c r="B44" s="164" t="s">
        <v>59</v>
      </c>
      <c r="C44" s="92"/>
      <c r="D44" s="92"/>
      <c r="E44" s="92"/>
      <c r="F44" s="92"/>
      <c r="G44" s="92"/>
      <c r="H44" s="92"/>
      <c r="I44" s="74"/>
      <c r="J44" s="92"/>
      <c r="K44" s="92"/>
      <c r="L44" s="92"/>
      <c r="M44" s="92"/>
      <c r="N44" s="227"/>
      <c r="O44" s="227"/>
      <c r="P44" s="227"/>
      <c r="Q44" s="227"/>
      <c r="R44" s="227"/>
      <c r="S44" s="94"/>
    </row>
    <row r="45" spans="2:19">
      <c r="B45" s="159" t="s">
        <v>348</v>
      </c>
      <c r="C45" s="92"/>
      <c r="D45" s="92"/>
      <c r="E45" s="92"/>
      <c r="F45" s="92"/>
      <c r="G45" s="92"/>
      <c r="H45" s="92"/>
      <c r="I45" s="74"/>
      <c r="J45" s="92"/>
      <c r="K45" s="92"/>
      <c r="L45" s="92"/>
      <c r="M45" s="92"/>
      <c r="N45" s="227"/>
      <c r="O45" s="227"/>
      <c r="P45" s="227"/>
      <c r="Q45" s="227"/>
      <c r="R45" s="227"/>
      <c r="S45" s="94"/>
    </row>
    <row r="46" spans="2:19" ht="41.45">
      <c r="B46" s="495" t="s">
        <v>350</v>
      </c>
      <c r="C46" s="333" t="s">
        <v>354</v>
      </c>
      <c r="D46" s="92"/>
      <c r="E46" s="92"/>
      <c r="F46" s="92"/>
      <c r="G46" s="92"/>
      <c r="H46" s="92"/>
      <c r="I46" s="74"/>
      <c r="J46" s="92"/>
      <c r="K46" s="92"/>
      <c r="L46" s="92"/>
      <c r="M46" s="92">
        <v>90</v>
      </c>
      <c r="N46" s="227"/>
      <c r="O46" s="227"/>
      <c r="P46" s="227"/>
      <c r="Q46" s="227"/>
      <c r="R46" s="227"/>
      <c r="S46" s="94"/>
    </row>
    <row r="47" spans="2:19">
      <c r="B47" s="164"/>
      <c r="C47" s="92"/>
      <c r="D47" s="92"/>
      <c r="E47" s="92"/>
      <c r="F47" s="92"/>
      <c r="G47" s="92"/>
      <c r="H47" s="92"/>
      <c r="I47" s="74"/>
      <c r="J47" s="92"/>
      <c r="K47" s="92"/>
      <c r="L47" s="92"/>
      <c r="M47" s="92"/>
      <c r="N47" s="227"/>
      <c r="O47" s="227"/>
      <c r="P47" s="227"/>
      <c r="Q47" s="227"/>
      <c r="R47" s="227"/>
      <c r="S47" s="94"/>
    </row>
    <row r="48" spans="2:19">
      <c r="B48" s="164" t="s">
        <v>60</v>
      </c>
      <c r="C48" s="92"/>
      <c r="D48" s="92"/>
      <c r="E48" s="92"/>
      <c r="F48" s="92"/>
      <c r="G48" s="92"/>
      <c r="H48" s="92"/>
      <c r="I48" s="74"/>
      <c r="J48" s="92"/>
      <c r="K48" s="92"/>
      <c r="L48" s="92"/>
      <c r="M48" s="92"/>
      <c r="N48" s="227"/>
      <c r="O48" s="227"/>
      <c r="P48" s="227"/>
      <c r="Q48" s="227"/>
      <c r="R48" s="227"/>
      <c r="S48" s="94"/>
    </row>
    <row r="49" spans="2:28">
      <c r="B49" s="159" t="s">
        <v>348</v>
      </c>
      <c r="C49" s="92"/>
      <c r="D49" s="92"/>
      <c r="E49" s="92"/>
      <c r="F49" s="92"/>
      <c r="G49" s="92"/>
      <c r="H49" s="92"/>
      <c r="I49" s="74"/>
      <c r="J49" s="92"/>
      <c r="K49" s="92"/>
      <c r="L49" s="92"/>
      <c r="M49" s="92"/>
      <c r="N49" s="227"/>
      <c r="O49" s="227"/>
      <c r="P49" s="227"/>
      <c r="Q49" s="227"/>
      <c r="R49" s="227"/>
      <c r="S49" s="94"/>
    </row>
    <row r="50" spans="2:28">
      <c r="B50" s="165" t="s">
        <v>349</v>
      </c>
      <c r="C50" s="92"/>
      <c r="D50" s="92"/>
      <c r="E50" s="92"/>
      <c r="F50" s="92"/>
      <c r="G50" s="92"/>
      <c r="H50" s="92"/>
      <c r="I50" s="74"/>
      <c r="J50" s="92"/>
      <c r="K50" s="92"/>
      <c r="L50" s="92"/>
      <c r="M50" s="92"/>
      <c r="N50" s="227"/>
      <c r="O50" s="227"/>
      <c r="P50" s="227"/>
      <c r="Q50" s="227"/>
      <c r="R50" s="227"/>
      <c r="S50" s="94"/>
    </row>
    <row r="51" spans="2:28">
      <c r="B51" s="159"/>
      <c r="C51" s="92"/>
      <c r="D51" s="92"/>
      <c r="E51" s="92"/>
      <c r="F51" s="92"/>
      <c r="G51" s="92"/>
      <c r="H51" s="92"/>
      <c r="I51" s="74"/>
      <c r="J51" s="92"/>
      <c r="K51" s="92"/>
      <c r="L51" s="92"/>
      <c r="M51" s="92"/>
      <c r="N51" s="227"/>
      <c r="O51" s="227"/>
      <c r="P51" s="227"/>
      <c r="Q51" s="227"/>
      <c r="R51" s="227"/>
      <c r="S51" s="94"/>
    </row>
    <row r="52" spans="2:28">
      <c r="B52" s="109" t="s">
        <v>355</v>
      </c>
      <c r="C52" s="98"/>
      <c r="D52" s="98"/>
      <c r="E52" s="98"/>
      <c r="F52" s="98"/>
      <c r="G52" s="98"/>
      <c r="H52" s="98"/>
      <c r="I52" s="112"/>
      <c r="J52" s="98"/>
      <c r="K52" s="98"/>
      <c r="L52" s="98"/>
      <c r="M52" s="98">
        <f>SUM(M11:M51)</f>
        <v>359.76220000000001</v>
      </c>
      <c r="N52" s="98"/>
      <c r="O52" s="98"/>
      <c r="P52" s="98"/>
      <c r="Q52" s="98"/>
      <c r="R52" s="98"/>
      <c r="S52" s="99"/>
    </row>
    <row r="54" spans="2:28">
      <c r="N54" s="100"/>
      <c r="O54" s="100"/>
      <c r="P54" s="100"/>
      <c r="Q54" s="100"/>
      <c r="R54" s="100"/>
    </row>
    <row r="55" spans="2:28" ht="15" customHeight="1">
      <c r="B55" s="81"/>
      <c r="C55" s="81"/>
      <c r="D55" s="81"/>
      <c r="E55" s="81"/>
      <c r="F55" s="81"/>
      <c r="G55" s="81"/>
      <c r="H55" s="81"/>
      <c r="I55" s="81"/>
      <c r="J55" s="81"/>
      <c r="K55" s="81"/>
      <c r="L55" s="71"/>
      <c r="M55" s="71"/>
      <c r="N55" s="71"/>
      <c r="O55" s="71"/>
      <c r="P55" s="71"/>
      <c r="Q55" s="71"/>
      <c r="R55" s="71"/>
      <c r="S55" s="71"/>
      <c r="T55" s="71"/>
      <c r="U55" s="105"/>
      <c r="V55" s="105"/>
      <c r="W55" s="105"/>
      <c r="X55" s="105"/>
      <c r="Y55" s="84"/>
      <c r="Z55" s="84"/>
      <c r="AA55" s="84"/>
      <c r="AB55" s="84"/>
    </row>
    <row r="56" spans="2:28">
      <c r="B56" s="130" t="s">
        <v>356</v>
      </c>
    </row>
    <row r="57" spans="2:28">
      <c r="K57" s="90" t="s">
        <v>52</v>
      </c>
    </row>
    <row r="58" spans="2:28" ht="25.5" customHeight="1">
      <c r="B58" s="796" t="s">
        <v>357</v>
      </c>
      <c r="C58" s="799" t="s">
        <v>358</v>
      </c>
      <c r="D58" s="799"/>
      <c r="E58" s="799"/>
      <c r="F58" s="799"/>
      <c r="G58" s="799"/>
      <c r="H58" s="799"/>
      <c r="I58" s="799"/>
      <c r="J58" s="799"/>
      <c r="K58" s="799"/>
      <c r="L58" s="101"/>
      <c r="M58" s="101"/>
    </row>
    <row r="59" spans="2:28" ht="17.45" customHeight="1">
      <c r="B59" s="797"/>
      <c r="C59" s="800" t="s">
        <v>329</v>
      </c>
      <c r="D59" s="800" t="s">
        <v>330</v>
      </c>
      <c r="E59" s="800" t="s">
        <v>359</v>
      </c>
      <c r="F59" s="800" t="s">
        <v>360</v>
      </c>
      <c r="G59" s="799" t="s">
        <v>361</v>
      </c>
      <c r="H59" s="802"/>
      <c r="I59" s="802"/>
      <c r="J59" s="802"/>
      <c r="K59" s="802"/>
      <c r="L59" s="131"/>
      <c r="M59" s="131"/>
    </row>
    <row r="60" spans="2:28" ht="47.25" customHeight="1">
      <c r="B60" s="798"/>
      <c r="C60" s="801"/>
      <c r="D60" s="801"/>
      <c r="E60" s="801"/>
      <c r="F60" s="801"/>
      <c r="G60" s="114" t="s">
        <v>362</v>
      </c>
      <c r="H60" s="114" t="s">
        <v>363</v>
      </c>
      <c r="I60" s="114" t="s">
        <v>364</v>
      </c>
      <c r="J60" s="114" t="s">
        <v>365</v>
      </c>
      <c r="K60" s="114" t="s">
        <v>366</v>
      </c>
    </row>
    <row r="61" spans="2:28">
      <c r="B61" s="164" t="s">
        <v>56</v>
      </c>
      <c r="C61" s="92"/>
      <c r="D61" s="92"/>
      <c r="E61" s="92"/>
      <c r="F61" s="92"/>
      <c r="G61" s="92"/>
      <c r="H61" s="92"/>
      <c r="I61" s="74"/>
      <c r="J61" s="92"/>
      <c r="K61" s="92"/>
    </row>
    <row r="62" spans="2:28">
      <c r="B62" s="164" t="s">
        <v>346</v>
      </c>
      <c r="C62" s="92"/>
      <c r="D62" s="92"/>
      <c r="E62" s="92"/>
      <c r="F62" s="92"/>
      <c r="G62" s="92"/>
      <c r="H62" s="92"/>
      <c r="I62" s="74"/>
      <c r="J62" s="92"/>
      <c r="K62" s="92"/>
    </row>
    <row r="63" spans="2:28">
      <c r="B63" s="165" t="s">
        <v>347</v>
      </c>
      <c r="C63" s="92"/>
      <c r="D63" s="92"/>
      <c r="E63" s="92"/>
      <c r="F63" s="92"/>
      <c r="G63" s="92"/>
      <c r="H63" s="92"/>
      <c r="I63" s="74"/>
      <c r="J63" s="92"/>
      <c r="K63" s="92"/>
    </row>
    <row r="64" spans="2:28">
      <c r="B64" s="159" t="s">
        <v>367</v>
      </c>
      <c r="C64" s="92"/>
      <c r="D64" s="92"/>
      <c r="E64" s="92"/>
      <c r="F64" s="92"/>
      <c r="G64" s="92"/>
      <c r="H64" s="92"/>
      <c r="I64" s="74"/>
      <c r="J64" s="92"/>
      <c r="K64" s="92"/>
    </row>
    <row r="65" spans="2:11">
      <c r="B65" s="159"/>
      <c r="C65" s="92"/>
      <c r="D65" s="92"/>
      <c r="E65" s="92"/>
      <c r="F65" s="92"/>
      <c r="G65" s="92"/>
      <c r="H65" s="92"/>
      <c r="I65" s="74"/>
      <c r="J65" s="92"/>
      <c r="K65" s="92"/>
    </row>
    <row r="66" spans="2:11">
      <c r="B66" s="163" t="s">
        <v>350</v>
      </c>
      <c r="C66" s="92"/>
      <c r="D66" s="92"/>
      <c r="E66" s="92"/>
      <c r="F66" s="390">
        <f>SUM(M19)*30%</f>
        <v>59.928660000000001</v>
      </c>
      <c r="G66" s="92">
        <f>SUM(M19)-F66</f>
        <v>139.83354</v>
      </c>
      <c r="H66" s="335">
        <v>9.3600000000000003E-2</v>
      </c>
      <c r="I66" s="74"/>
      <c r="J66" s="92"/>
      <c r="K66" s="92" t="s">
        <v>368</v>
      </c>
    </row>
    <row r="67" spans="2:11">
      <c r="B67" s="159" t="s">
        <v>348</v>
      </c>
      <c r="C67" s="92"/>
      <c r="D67" s="92"/>
      <c r="E67" s="92"/>
      <c r="F67" s="92"/>
      <c r="G67" s="92"/>
      <c r="H67" s="92"/>
      <c r="I67" s="74"/>
      <c r="J67" s="92"/>
      <c r="K67" s="92"/>
    </row>
    <row r="68" spans="2:11">
      <c r="B68" s="159" t="s">
        <v>348</v>
      </c>
      <c r="C68" s="92"/>
      <c r="D68" s="92"/>
      <c r="E68" s="92"/>
      <c r="F68" s="92"/>
      <c r="G68" s="92"/>
      <c r="H68" s="92"/>
      <c r="I68" s="74"/>
      <c r="J68" s="92"/>
      <c r="K68" s="92"/>
    </row>
    <row r="69" spans="2:11">
      <c r="B69" s="159" t="s">
        <v>348</v>
      </c>
      <c r="C69" s="92"/>
      <c r="D69" s="92"/>
      <c r="E69" s="92"/>
      <c r="F69" s="353"/>
      <c r="G69" s="353"/>
      <c r="H69" s="353"/>
      <c r="I69" s="492"/>
      <c r="J69" s="353"/>
      <c r="K69" s="353"/>
    </row>
    <row r="70" spans="2:11">
      <c r="B70" s="159" t="s">
        <v>348</v>
      </c>
      <c r="C70" s="92"/>
      <c r="D70" s="92"/>
      <c r="E70" s="625"/>
      <c r="F70" s="626"/>
      <c r="G70" s="626"/>
      <c r="H70" s="626"/>
      <c r="I70" s="626"/>
      <c r="J70" s="626"/>
      <c r="K70" s="626"/>
    </row>
    <row r="71" spans="2:11">
      <c r="B71" s="159" t="s">
        <v>348</v>
      </c>
      <c r="C71" s="92"/>
      <c r="D71" s="92"/>
      <c r="E71" s="92"/>
      <c r="F71" s="350"/>
      <c r="G71" s="350"/>
      <c r="H71" s="350"/>
      <c r="I71" s="494"/>
      <c r="J71" s="350"/>
      <c r="K71" s="350"/>
    </row>
    <row r="72" spans="2:11">
      <c r="B72" s="166"/>
      <c r="C72" s="92"/>
      <c r="D72" s="92"/>
      <c r="E72" s="92"/>
      <c r="F72" s="92"/>
      <c r="G72" s="92"/>
      <c r="H72" s="92"/>
      <c r="I72" s="74"/>
      <c r="J72" s="92"/>
      <c r="K72" s="92"/>
    </row>
    <row r="73" spans="2:11">
      <c r="B73" s="164" t="s">
        <v>57</v>
      </c>
      <c r="C73" s="92"/>
      <c r="D73" s="92"/>
      <c r="E73" s="92"/>
      <c r="F73" s="92"/>
      <c r="G73" s="92"/>
      <c r="H73" s="92"/>
      <c r="I73" s="74"/>
      <c r="J73" s="92"/>
      <c r="K73" s="92"/>
    </row>
    <row r="74" spans="2:11">
      <c r="B74" s="164" t="s">
        <v>346</v>
      </c>
      <c r="C74" s="92"/>
      <c r="D74" s="92"/>
      <c r="E74" s="92"/>
      <c r="F74" s="92"/>
      <c r="G74" s="92"/>
      <c r="H74" s="92"/>
      <c r="I74" s="74"/>
      <c r="J74" s="92"/>
      <c r="K74" s="92"/>
    </row>
    <row r="75" spans="2:11">
      <c r="B75" s="165" t="s">
        <v>347</v>
      </c>
      <c r="C75" s="92"/>
      <c r="D75" s="92"/>
      <c r="E75" s="92"/>
      <c r="F75" s="92"/>
      <c r="G75" s="92"/>
      <c r="H75" s="92"/>
      <c r="I75" s="74"/>
      <c r="J75" s="92"/>
      <c r="K75" s="92"/>
    </row>
    <row r="76" spans="2:11">
      <c r="B76" s="159" t="s">
        <v>348</v>
      </c>
      <c r="C76" s="92"/>
      <c r="D76" s="92"/>
      <c r="E76" s="92"/>
      <c r="F76" s="92"/>
      <c r="G76" s="92"/>
      <c r="H76" s="92"/>
      <c r="I76" s="74"/>
      <c r="J76" s="92"/>
      <c r="K76" s="92"/>
    </row>
    <row r="77" spans="2:11">
      <c r="B77" s="159" t="s">
        <v>348</v>
      </c>
      <c r="C77" s="92"/>
      <c r="D77" s="92"/>
      <c r="E77" s="92"/>
      <c r="F77" s="92"/>
      <c r="G77" s="92"/>
      <c r="H77" s="92"/>
      <c r="I77" s="74"/>
      <c r="J77" s="92"/>
      <c r="K77" s="92"/>
    </row>
    <row r="78" spans="2:11">
      <c r="B78" s="165" t="s">
        <v>349</v>
      </c>
      <c r="C78" s="92"/>
      <c r="D78" s="92"/>
      <c r="E78" s="92"/>
      <c r="F78" s="92"/>
      <c r="G78" s="92"/>
      <c r="H78" s="92"/>
      <c r="I78" s="74"/>
      <c r="J78" s="92"/>
      <c r="K78" s="92"/>
    </row>
    <row r="79" spans="2:11">
      <c r="B79" s="159" t="s">
        <v>348</v>
      </c>
      <c r="C79" s="92"/>
      <c r="D79" s="92"/>
      <c r="E79" s="92"/>
      <c r="F79" s="353"/>
      <c r="G79" s="353"/>
      <c r="H79" s="353"/>
      <c r="I79" s="492"/>
      <c r="J79" s="353"/>
      <c r="K79" s="353"/>
    </row>
    <row r="80" spans="2:11">
      <c r="B80" s="159" t="s">
        <v>348</v>
      </c>
      <c r="C80" s="92"/>
      <c r="D80" s="92"/>
      <c r="E80" s="625"/>
      <c r="F80" s="92"/>
      <c r="G80" s="92"/>
      <c r="H80" s="626"/>
      <c r="I80" s="74"/>
      <c r="J80" s="92"/>
      <c r="K80" s="92"/>
    </row>
    <row r="81" spans="2:11">
      <c r="B81" s="163" t="s">
        <v>350</v>
      </c>
      <c r="C81" s="92"/>
      <c r="D81" s="92"/>
      <c r="E81" s="92"/>
      <c r="F81" s="350"/>
      <c r="G81" s="350"/>
      <c r="H81" s="350"/>
      <c r="I81" s="494"/>
      <c r="J81" s="350"/>
      <c r="K81" s="350"/>
    </row>
    <row r="82" spans="2:11">
      <c r="B82" s="159" t="s">
        <v>348</v>
      </c>
      <c r="C82" s="92"/>
      <c r="D82" s="92"/>
      <c r="E82" s="92"/>
      <c r="F82" s="92">
        <f>SUM(M31)*30%</f>
        <v>9</v>
      </c>
      <c r="G82" s="92">
        <f>SUM(M31)-F82</f>
        <v>21</v>
      </c>
      <c r="H82" s="335">
        <v>9.3600000000000003E-2</v>
      </c>
      <c r="I82" s="74"/>
      <c r="J82" s="92"/>
      <c r="K82" s="92" t="s">
        <v>368</v>
      </c>
    </row>
    <row r="83" spans="2:11">
      <c r="B83" s="159" t="s">
        <v>348</v>
      </c>
      <c r="C83" s="92"/>
      <c r="D83" s="92"/>
      <c r="E83" s="92"/>
      <c r="F83" s="92"/>
      <c r="G83" s="92"/>
      <c r="H83" s="92"/>
      <c r="I83" s="74"/>
      <c r="J83" s="92"/>
      <c r="K83" s="92"/>
    </row>
    <row r="84" spans="2:11">
      <c r="B84" s="166"/>
      <c r="C84" s="92"/>
      <c r="D84" s="92"/>
      <c r="E84" s="92"/>
      <c r="F84" s="92"/>
      <c r="G84" s="92"/>
      <c r="H84" s="92"/>
      <c r="I84" s="74"/>
      <c r="J84" s="92"/>
      <c r="K84" s="92"/>
    </row>
    <row r="85" spans="2:11">
      <c r="B85" s="164" t="s">
        <v>58</v>
      </c>
      <c r="C85" s="92"/>
      <c r="D85" s="92"/>
      <c r="E85" s="92"/>
      <c r="F85" s="92"/>
      <c r="G85" s="92"/>
      <c r="H85" s="92"/>
      <c r="I85" s="74"/>
      <c r="J85" s="92"/>
      <c r="K85" s="92"/>
    </row>
    <row r="86" spans="2:11">
      <c r="B86" s="159" t="s">
        <v>348</v>
      </c>
      <c r="C86" s="92"/>
      <c r="D86" s="92"/>
      <c r="E86" s="92"/>
      <c r="F86" s="92"/>
      <c r="G86" s="92"/>
      <c r="H86" s="92"/>
      <c r="I86" s="74"/>
      <c r="J86" s="92"/>
      <c r="K86" s="92"/>
    </row>
    <row r="87" spans="2:11">
      <c r="B87" s="159"/>
      <c r="C87" s="92"/>
      <c r="D87" s="92"/>
      <c r="E87" s="92"/>
      <c r="F87" s="92"/>
      <c r="G87" s="92"/>
      <c r="H87" s="92"/>
      <c r="I87" s="74"/>
      <c r="J87" s="92"/>
      <c r="K87" s="92"/>
    </row>
    <row r="88" spans="2:11">
      <c r="B88" s="163" t="s">
        <v>350</v>
      </c>
      <c r="C88" s="92"/>
      <c r="D88" s="92"/>
      <c r="E88" s="92"/>
      <c r="F88" s="92">
        <f>SUM(M37)*30%</f>
        <v>12</v>
      </c>
      <c r="G88" s="92">
        <f>SUM(M37)-F88</f>
        <v>28</v>
      </c>
      <c r="H88" s="335">
        <v>9.3600000000000003E-2</v>
      </c>
      <c r="I88" s="74"/>
      <c r="J88" s="92"/>
      <c r="K88" s="92" t="s">
        <v>368</v>
      </c>
    </row>
    <row r="89" spans="2:11">
      <c r="B89" s="159" t="s">
        <v>348</v>
      </c>
      <c r="C89" s="92"/>
      <c r="D89" s="92"/>
      <c r="E89" s="92"/>
      <c r="F89" s="92"/>
      <c r="G89" s="92"/>
      <c r="H89" s="92"/>
      <c r="I89" s="74"/>
      <c r="J89" s="92"/>
      <c r="K89" s="92"/>
    </row>
    <row r="90" spans="2:11">
      <c r="B90" s="166"/>
      <c r="C90" s="92"/>
      <c r="D90" s="92"/>
      <c r="E90" s="92"/>
      <c r="F90" s="92"/>
      <c r="G90" s="92"/>
      <c r="H90" s="92"/>
      <c r="I90" s="74"/>
      <c r="J90" s="92"/>
      <c r="K90" s="92"/>
    </row>
    <row r="91" spans="2:11">
      <c r="B91" s="164" t="s">
        <v>59</v>
      </c>
      <c r="C91" s="92"/>
      <c r="D91" s="92"/>
      <c r="E91" s="92"/>
      <c r="F91" s="92"/>
      <c r="G91" s="92"/>
      <c r="H91" s="92"/>
      <c r="I91" s="74"/>
      <c r="J91" s="92"/>
      <c r="K91" s="92"/>
    </row>
    <row r="92" spans="2:11">
      <c r="B92" s="159" t="s">
        <v>348</v>
      </c>
      <c r="C92" s="92"/>
      <c r="D92" s="92"/>
      <c r="E92" s="92"/>
      <c r="F92" s="92"/>
      <c r="G92" s="92"/>
      <c r="H92" s="92"/>
      <c r="I92" s="74"/>
      <c r="J92" s="92"/>
      <c r="K92" s="92"/>
    </row>
    <row r="93" spans="2:11">
      <c r="B93" s="163" t="s">
        <v>350</v>
      </c>
      <c r="C93" s="92"/>
      <c r="D93" s="92"/>
      <c r="E93" s="92"/>
      <c r="F93" s="92">
        <f>SUM(M46)*30%</f>
        <v>27</v>
      </c>
      <c r="G93" s="92">
        <f>SUM(M46)-F93</f>
        <v>63</v>
      </c>
      <c r="H93" s="335">
        <v>9.3600000000000003E-2</v>
      </c>
      <c r="I93" s="74"/>
      <c r="J93" s="92"/>
      <c r="K93" s="92" t="s">
        <v>368</v>
      </c>
    </row>
    <row r="94" spans="2:11">
      <c r="B94" s="164"/>
      <c r="C94" s="92"/>
      <c r="D94" s="92"/>
      <c r="E94" s="92"/>
      <c r="F94" s="92"/>
      <c r="G94" s="92"/>
      <c r="H94" s="92"/>
      <c r="I94" s="74"/>
      <c r="J94" s="92"/>
      <c r="K94" s="92"/>
    </row>
    <row r="95" spans="2:11">
      <c r="B95" s="164" t="s">
        <v>60</v>
      </c>
      <c r="C95" s="92"/>
      <c r="D95" s="92"/>
      <c r="E95" s="92"/>
      <c r="F95" s="92"/>
      <c r="G95" s="92"/>
      <c r="H95" s="92"/>
      <c r="I95" s="74"/>
      <c r="J95" s="92"/>
      <c r="K95" s="92"/>
    </row>
    <row r="96" spans="2:11">
      <c r="B96" s="159" t="s">
        <v>348</v>
      </c>
      <c r="C96" s="92"/>
      <c r="D96" s="92"/>
      <c r="E96" s="92"/>
      <c r="F96" s="92"/>
      <c r="G96" s="92"/>
      <c r="H96" s="92"/>
      <c r="I96" s="74"/>
      <c r="J96" s="92"/>
      <c r="K96" s="92"/>
    </row>
    <row r="97" spans="2:11">
      <c r="B97" s="163" t="s">
        <v>350</v>
      </c>
      <c r="C97" s="92"/>
      <c r="D97" s="92"/>
      <c r="E97" s="92"/>
      <c r="F97" s="92"/>
      <c r="G97" s="92"/>
      <c r="H97" s="92"/>
      <c r="I97" s="74"/>
      <c r="J97" s="92"/>
      <c r="K97" s="92"/>
    </row>
    <row r="98" spans="2:11">
      <c r="B98" s="159"/>
      <c r="C98" s="92"/>
      <c r="D98" s="92"/>
      <c r="E98" s="92"/>
      <c r="F98" s="92"/>
      <c r="G98" s="92"/>
      <c r="H98" s="92"/>
      <c r="I98" s="74"/>
      <c r="J98" s="92"/>
      <c r="K98" s="92"/>
    </row>
    <row r="99" spans="2:11">
      <c r="B99" s="109" t="s">
        <v>355</v>
      </c>
      <c r="C99" s="98"/>
      <c r="D99" s="98"/>
      <c r="E99" s="98"/>
      <c r="F99" s="332">
        <f>SUM(F61:F98)</f>
        <v>107.92866000000001</v>
      </c>
      <c r="G99" s="98">
        <f>SUM(G61:G98)</f>
        <v>251.83354</v>
      </c>
      <c r="H99" s="627">
        <f>AVERAGE(H61:H98)</f>
        <v>9.3600000000000003E-2</v>
      </c>
      <c r="I99" s="98">
        <f>SUM(I61:I98)</f>
        <v>0</v>
      </c>
      <c r="J99" s="98">
        <f>SUM(J61:J98)</f>
        <v>0</v>
      </c>
      <c r="K99" s="98"/>
    </row>
    <row r="101" spans="2:11">
      <c r="B101" s="207" t="s">
        <v>369</v>
      </c>
      <c r="C101" s="207"/>
      <c r="D101" s="207"/>
      <c r="E101" s="207"/>
      <c r="F101" s="207"/>
    </row>
  </sheetData>
  <mergeCells count="24">
    <mergeCell ref="M9:M10"/>
    <mergeCell ref="N9:N10"/>
    <mergeCell ref="O9:S9"/>
    <mergeCell ref="H9:H10"/>
    <mergeCell ref="I9:I10"/>
    <mergeCell ref="J9:J10"/>
    <mergeCell ref="K9:K10"/>
    <mergeCell ref="L9:L10"/>
    <mergeCell ref="J8:L8"/>
    <mergeCell ref="M8:S8"/>
    <mergeCell ref="B58:B60"/>
    <mergeCell ref="C58:K58"/>
    <mergeCell ref="C59:C60"/>
    <mergeCell ref="D59:D60"/>
    <mergeCell ref="E59:E60"/>
    <mergeCell ref="F59:F60"/>
    <mergeCell ref="G59:K59"/>
    <mergeCell ref="G8:I8"/>
    <mergeCell ref="B8:B10"/>
    <mergeCell ref="C8:C10"/>
    <mergeCell ref="D8:D10"/>
    <mergeCell ref="E8:E10"/>
    <mergeCell ref="F8:F10"/>
    <mergeCell ref="G9:G10"/>
  </mergeCells>
  <pageMargins left="0.47244094488188981" right="0.19685039370078741" top="0.39370078740157483" bottom="0.35433070866141736" header="0.23622047244094491" footer="0.23622047244094491"/>
  <pageSetup paperSize="9" scale="41" fitToHeight="2" orientation="landscape" r:id="rId1"/>
  <headerFooter alignWithMargins="0">
    <oddHeader>&amp;F</oddHeader>
  </headerFooter>
  <rowBreaks count="1" manualBreakCount="1">
    <brk id="53" min="1" max="14"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O54"/>
  <sheetViews>
    <sheetView showGridLines="0" view="pageBreakPreview" zoomScale="36" zoomScaleNormal="80" zoomScaleSheetLayoutView="70" workbookViewId="0">
      <selection activeCell="C46" sqref="C46"/>
    </sheetView>
  </sheetViews>
  <sheetFormatPr defaultColWidth="9.140625" defaultRowHeight="13.9"/>
  <cols>
    <col min="1" max="1" width="4.5703125" style="70" customWidth="1"/>
    <col min="2" max="2" width="8.42578125" style="79" customWidth="1"/>
    <col min="3" max="3" width="46.42578125" style="70" customWidth="1"/>
    <col min="4" max="4" width="19.42578125" style="106" customWidth="1"/>
    <col min="5" max="12" width="19.42578125" style="70" customWidth="1"/>
    <col min="13" max="13" width="18.85546875" style="70" customWidth="1"/>
    <col min="14" max="14" width="15.5703125" style="70" customWidth="1"/>
    <col min="15" max="23" width="14.42578125" style="70" customWidth="1"/>
    <col min="24" max="24" width="17.42578125" style="70" customWidth="1"/>
    <col min="25" max="26" width="14.5703125" style="70" customWidth="1"/>
    <col min="27" max="30" width="15.5703125" style="70" customWidth="1"/>
    <col min="31" max="31" width="14.42578125" style="70" customWidth="1"/>
    <col min="32" max="33" width="16" style="70" customWidth="1"/>
    <col min="34" max="34" width="14" style="70" customWidth="1"/>
    <col min="35" max="37" width="12.5703125" style="70" customWidth="1"/>
    <col min="38" max="38" width="15.42578125" style="70" customWidth="1"/>
    <col min="39" max="39" width="12.5703125" style="70" customWidth="1"/>
    <col min="40" max="40" width="13.42578125" style="70" customWidth="1"/>
    <col min="41" max="41" width="13.5703125" style="70" customWidth="1"/>
    <col min="42" max="44" width="9.140625" style="70"/>
    <col min="45" max="45" width="11.42578125" style="70" customWidth="1"/>
    <col min="46" max="16384" width="9.140625" style="70"/>
  </cols>
  <sheetData>
    <row r="2" spans="2:41">
      <c r="C2" s="102"/>
      <c r="D2" s="129"/>
      <c r="E2" s="102"/>
      <c r="F2" s="102"/>
      <c r="G2" s="102"/>
      <c r="H2" s="102"/>
      <c r="I2" s="102"/>
      <c r="J2" s="102"/>
      <c r="K2" s="102"/>
      <c r="L2" s="102"/>
      <c r="M2" s="102"/>
      <c r="N2" s="102"/>
      <c r="O2" s="103"/>
      <c r="P2" s="103"/>
      <c r="Q2" s="103"/>
      <c r="R2" s="103"/>
      <c r="S2" s="103"/>
      <c r="T2" s="103"/>
    </row>
    <row r="3" spans="2:41">
      <c r="C3" s="104"/>
      <c r="D3" s="81"/>
      <c r="E3" s="104"/>
      <c r="F3" s="104"/>
      <c r="G3" s="104"/>
      <c r="H3" s="104"/>
      <c r="I3" s="104"/>
      <c r="J3" s="104"/>
      <c r="K3" s="104"/>
      <c r="L3" s="104"/>
      <c r="M3" s="52" t="s">
        <v>0</v>
      </c>
      <c r="N3" s="104"/>
      <c r="O3" s="105"/>
      <c r="P3" s="105"/>
      <c r="Q3" s="105"/>
      <c r="R3" s="105"/>
      <c r="S3" s="105"/>
      <c r="T3" s="105"/>
      <c r="U3" s="106"/>
      <c r="V3" s="106"/>
      <c r="W3" s="106"/>
    </row>
    <row r="4" spans="2:41">
      <c r="C4" s="85"/>
      <c r="D4" s="110"/>
      <c r="E4" s="85"/>
      <c r="F4" s="85"/>
      <c r="G4" s="85"/>
      <c r="H4" s="85"/>
      <c r="I4" s="85"/>
      <c r="J4" s="85"/>
      <c r="K4" s="85"/>
      <c r="L4" s="85"/>
      <c r="M4" s="55" t="s">
        <v>1</v>
      </c>
      <c r="N4" s="85"/>
      <c r="O4" s="87"/>
      <c r="P4" s="87"/>
      <c r="Q4" s="87"/>
      <c r="R4" s="87"/>
      <c r="S4" s="87"/>
      <c r="T4" s="87"/>
      <c r="U4" s="106"/>
      <c r="V4" s="106"/>
      <c r="W4" s="106"/>
    </row>
    <row r="5" spans="2:41">
      <c r="C5" s="87"/>
      <c r="D5" s="87"/>
      <c r="E5" s="87"/>
      <c r="F5" s="87"/>
      <c r="G5" s="87"/>
      <c r="H5" s="87"/>
      <c r="I5" s="87"/>
      <c r="J5" s="87"/>
      <c r="K5" s="87"/>
      <c r="L5" s="87"/>
      <c r="M5" s="86" t="s">
        <v>370</v>
      </c>
      <c r="N5" s="107"/>
      <c r="O5" s="107"/>
      <c r="P5" s="107"/>
      <c r="Q5" s="107"/>
      <c r="R5" s="107"/>
      <c r="S5" s="107"/>
      <c r="T5" s="107"/>
      <c r="U5" s="107"/>
      <c r="V5" s="107"/>
      <c r="W5" s="107"/>
      <c r="X5" s="107"/>
      <c r="Y5" s="107"/>
      <c r="Z5" s="107"/>
      <c r="AA5" s="107"/>
      <c r="AB5" s="107"/>
      <c r="AC5" s="107"/>
      <c r="AD5" s="107"/>
      <c r="AE5" s="107"/>
      <c r="AF5" s="107"/>
      <c r="AG5" s="107"/>
      <c r="AH5" s="107"/>
      <c r="AI5" s="87"/>
      <c r="AJ5" s="87"/>
      <c r="AK5" s="87"/>
      <c r="AL5" s="84"/>
      <c r="AM5" s="84"/>
      <c r="AN5" s="84"/>
      <c r="AO5" s="84"/>
    </row>
    <row r="6" spans="2:41">
      <c r="C6" s="88"/>
      <c r="D6" s="90"/>
      <c r="E6" s="88"/>
      <c r="F6" s="88"/>
      <c r="G6" s="88"/>
      <c r="H6" s="88"/>
      <c r="I6" s="88"/>
      <c r="J6" s="88"/>
      <c r="K6" s="88"/>
      <c r="L6" s="88"/>
      <c r="M6" s="89"/>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row>
    <row r="7" spans="2:41">
      <c r="C7" s="88"/>
      <c r="D7" s="90"/>
      <c r="E7" s="88"/>
      <c r="F7" s="88"/>
      <c r="G7" s="88"/>
      <c r="H7" s="88"/>
      <c r="I7" s="88"/>
      <c r="J7" s="88"/>
      <c r="K7" s="88"/>
      <c r="L7" s="88"/>
      <c r="M7" s="89"/>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row>
    <row r="8" spans="2:41" ht="15" customHeight="1">
      <c r="C8" s="89" t="s">
        <v>326</v>
      </c>
      <c r="D8" s="87"/>
      <c r="E8" s="89"/>
      <c r="F8" s="89"/>
      <c r="G8" s="89"/>
      <c r="H8" s="89"/>
      <c r="I8" s="89"/>
      <c r="J8" s="89"/>
      <c r="K8" s="89"/>
      <c r="L8" s="89"/>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row>
    <row r="9" spans="2:41">
      <c r="C9" s="88"/>
      <c r="D9" s="90"/>
      <c r="E9" s="88"/>
      <c r="F9" s="88"/>
      <c r="G9" s="88"/>
      <c r="H9" s="88"/>
      <c r="I9" s="88"/>
      <c r="J9" s="88"/>
      <c r="K9" s="88"/>
      <c r="L9" s="88"/>
      <c r="M9" s="88"/>
      <c r="N9" s="84"/>
      <c r="O9" s="84"/>
      <c r="P9" s="84"/>
      <c r="Q9" s="84"/>
      <c r="R9" s="84"/>
      <c r="S9" s="90" t="s">
        <v>52</v>
      </c>
      <c r="U9" s="84"/>
      <c r="V9" s="84"/>
      <c r="W9" s="84"/>
      <c r="X9" s="84"/>
      <c r="Y9" s="84"/>
      <c r="Z9" s="90"/>
      <c r="AB9" s="84"/>
      <c r="AC9" s="84"/>
      <c r="AD9" s="84"/>
      <c r="AF9" s="108" t="s">
        <v>52</v>
      </c>
      <c r="AG9" s="108"/>
      <c r="AH9" s="90"/>
      <c r="AI9" s="90"/>
      <c r="AJ9" s="90"/>
      <c r="AK9" s="90"/>
      <c r="AL9" s="84"/>
      <c r="AM9" s="84"/>
      <c r="AN9" s="84"/>
    </row>
    <row r="10" spans="2:41" ht="15" customHeight="1">
      <c r="B10" s="800" t="s">
        <v>2</v>
      </c>
      <c r="C10" s="800" t="s">
        <v>327</v>
      </c>
      <c r="D10" s="800" t="s">
        <v>328</v>
      </c>
      <c r="E10" s="800" t="s">
        <v>329</v>
      </c>
      <c r="F10" s="800" t="s">
        <v>330</v>
      </c>
      <c r="G10" s="800" t="s">
        <v>371</v>
      </c>
      <c r="H10" s="800" t="s">
        <v>372</v>
      </c>
      <c r="I10" s="800" t="s">
        <v>373</v>
      </c>
      <c r="J10" s="800" t="s">
        <v>374</v>
      </c>
      <c r="K10" s="800" t="s">
        <v>375</v>
      </c>
      <c r="L10" s="800" t="s">
        <v>376</v>
      </c>
      <c r="M10" s="800" t="s">
        <v>377</v>
      </c>
      <c r="N10" s="800" t="s">
        <v>378</v>
      </c>
      <c r="O10" s="809" t="s">
        <v>319</v>
      </c>
      <c r="P10" s="809"/>
      <c r="Q10" s="809"/>
      <c r="R10" s="809"/>
      <c r="S10" s="809"/>
      <c r="T10" s="810"/>
      <c r="U10" s="794" t="s">
        <v>379</v>
      </c>
      <c r="V10" s="794"/>
      <c r="W10" s="794"/>
      <c r="X10" s="794"/>
      <c r="Y10" s="794"/>
      <c r="Z10" s="795"/>
      <c r="AA10" s="794" t="s">
        <v>380</v>
      </c>
      <c r="AB10" s="794"/>
      <c r="AC10" s="794"/>
      <c r="AD10" s="794"/>
      <c r="AE10" s="794"/>
      <c r="AF10" s="795"/>
      <c r="AG10" s="811" t="s">
        <v>381</v>
      </c>
      <c r="AH10" s="811"/>
    </row>
    <row r="11" spans="2:41" ht="24.75" customHeight="1">
      <c r="B11" s="803"/>
      <c r="C11" s="803"/>
      <c r="D11" s="803"/>
      <c r="E11" s="803"/>
      <c r="F11" s="803"/>
      <c r="G11" s="803"/>
      <c r="H11" s="803"/>
      <c r="I11" s="803"/>
      <c r="J11" s="803"/>
      <c r="K11" s="803"/>
      <c r="L11" s="803"/>
      <c r="M11" s="803"/>
      <c r="N11" s="803"/>
      <c r="O11" s="168" t="s">
        <v>382</v>
      </c>
      <c r="P11" s="168" t="s">
        <v>61</v>
      </c>
      <c r="Q11" s="168" t="s">
        <v>61</v>
      </c>
      <c r="R11" s="168" t="s">
        <v>61</v>
      </c>
      <c r="S11" s="168" t="s">
        <v>61</v>
      </c>
      <c r="T11" s="168" t="s">
        <v>61</v>
      </c>
      <c r="U11" s="168" t="s">
        <v>382</v>
      </c>
      <c r="V11" s="168" t="s">
        <v>61</v>
      </c>
      <c r="W11" s="168" t="s">
        <v>61</v>
      </c>
      <c r="X11" s="168" t="s">
        <v>61</v>
      </c>
      <c r="Y11" s="168" t="s">
        <v>61</v>
      </c>
      <c r="Z11" s="168" t="s">
        <v>61</v>
      </c>
      <c r="AA11" s="168" t="s">
        <v>382</v>
      </c>
      <c r="AB11" s="168" t="s">
        <v>61</v>
      </c>
      <c r="AC11" s="168" t="s">
        <v>61</v>
      </c>
      <c r="AD11" s="168" t="s">
        <v>61</v>
      </c>
      <c r="AE11" s="168" t="s">
        <v>61</v>
      </c>
      <c r="AF11" s="168" t="s">
        <v>61</v>
      </c>
      <c r="AG11" s="812" t="s">
        <v>383</v>
      </c>
      <c r="AH11" s="812" t="s">
        <v>384</v>
      </c>
    </row>
    <row r="12" spans="2:41" ht="26.25" customHeight="1">
      <c r="B12" s="801"/>
      <c r="C12" s="801"/>
      <c r="D12" s="801"/>
      <c r="E12" s="801"/>
      <c r="F12" s="801"/>
      <c r="G12" s="801"/>
      <c r="H12" s="801"/>
      <c r="I12" s="801"/>
      <c r="J12" s="801"/>
      <c r="K12" s="801"/>
      <c r="L12" s="801"/>
      <c r="M12" s="801"/>
      <c r="N12" s="801"/>
      <c r="O12" s="153" t="s">
        <v>101</v>
      </c>
      <c r="P12" s="153" t="s">
        <v>56</v>
      </c>
      <c r="Q12" s="153" t="s">
        <v>57</v>
      </c>
      <c r="R12" s="153" t="s">
        <v>58</v>
      </c>
      <c r="S12" s="153" t="s">
        <v>59</v>
      </c>
      <c r="T12" s="153" t="s">
        <v>60</v>
      </c>
      <c r="U12" s="153" t="s">
        <v>101</v>
      </c>
      <c r="V12" s="153" t="s">
        <v>56</v>
      </c>
      <c r="W12" s="153" t="s">
        <v>57</v>
      </c>
      <c r="X12" s="153" t="s">
        <v>58</v>
      </c>
      <c r="Y12" s="153" t="s">
        <v>59</v>
      </c>
      <c r="Z12" s="153" t="s">
        <v>60</v>
      </c>
      <c r="AA12" s="153" t="s">
        <v>101</v>
      </c>
      <c r="AB12" s="153" t="s">
        <v>56</v>
      </c>
      <c r="AC12" s="153" t="s">
        <v>57</v>
      </c>
      <c r="AD12" s="153" t="s">
        <v>58</v>
      </c>
      <c r="AE12" s="153" t="s">
        <v>59</v>
      </c>
      <c r="AF12" s="153" t="s">
        <v>60</v>
      </c>
      <c r="AG12" s="813"/>
      <c r="AH12" s="813"/>
    </row>
    <row r="13" spans="2:41" ht="26.25" customHeight="1">
      <c r="B13" s="356"/>
      <c r="C13" s="164" t="s">
        <v>101</v>
      </c>
      <c r="D13" s="356"/>
      <c r="E13" s="356"/>
      <c r="F13" s="356"/>
      <c r="G13" s="356"/>
      <c r="H13" s="356"/>
      <c r="I13" s="356"/>
      <c r="J13" s="356"/>
      <c r="K13" s="356"/>
      <c r="L13" s="356"/>
      <c r="M13" s="356"/>
      <c r="N13" s="356"/>
      <c r="O13" s="171"/>
      <c r="P13" s="171"/>
      <c r="Q13" s="171"/>
      <c r="R13" s="171"/>
      <c r="S13" s="171"/>
      <c r="T13" s="171"/>
      <c r="U13" s="171"/>
      <c r="V13" s="171"/>
      <c r="W13" s="171"/>
      <c r="X13" s="171"/>
      <c r="Y13" s="171"/>
      <c r="Z13" s="171"/>
      <c r="AA13" s="171"/>
      <c r="AB13" s="171"/>
      <c r="AC13" s="171"/>
      <c r="AD13" s="171"/>
      <c r="AE13" s="171"/>
      <c r="AF13" s="171"/>
      <c r="AG13" s="357"/>
      <c r="AH13" s="357"/>
    </row>
    <row r="14" spans="2:41" ht="26.25" customHeight="1">
      <c r="B14" s="356">
        <v>1</v>
      </c>
      <c r="C14" s="163" t="s">
        <v>350</v>
      </c>
      <c r="D14" s="358" t="s">
        <v>385</v>
      </c>
      <c r="E14" s="356"/>
      <c r="F14" s="356"/>
      <c r="G14" s="673">
        <f>'F4 (E) Existing'!D16</f>
        <v>115.27958</v>
      </c>
      <c r="H14" s="356"/>
      <c r="I14" s="356"/>
      <c r="J14" s="356"/>
      <c r="K14" s="356"/>
      <c r="L14" s="356"/>
      <c r="M14" s="356"/>
      <c r="N14" s="356"/>
      <c r="O14" s="673">
        <f>G14</f>
        <v>115.27958</v>
      </c>
      <c r="P14" s="171"/>
      <c r="Q14" s="171"/>
      <c r="R14" s="171"/>
      <c r="S14" s="171"/>
      <c r="T14" s="171"/>
      <c r="U14" s="331">
        <v>1</v>
      </c>
      <c r="V14" s="171"/>
      <c r="W14" s="171"/>
      <c r="X14" s="171"/>
      <c r="Y14" s="171"/>
      <c r="Z14" s="171"/>
      <c r="AA14" s="92">
        <f>U14*G14</f>
        <v>115.27958</v>
      </c>
      <c r="AB14" s="171"/>
      <c r="AC14" s="171"/>
      <c r="AD14" s="171"/>
      <c r="AE14" s="171"/>
      <c r="AF14" s="171"/>
      <c r="AG14" s="357"/>
      <c r="AH14" s="357"/>
    </row>
    <row r="15" spans="2:41" ht="27.6">
      <c r="B15" s="356">
        <v>2</v>
      </c>
      <c r="C15" s="356"/>
      <c r="D15" s="362" t="s">
        <v>386</v>
      </c>
      <c r="E15" s="92"/>
      <c r="F15" s="92"/>
      <c r="G15" s="673">
        <f>'F4 (E) Existing'!D17</f>
        <v>4.8686800000000003</v>
      </c>
      <c r="H15" s="92"/>
      <c r="I15" s="92"/>
      <c r="J15" s="92"/>
      <c r="K15" s="92"/>
      <c r="L15" s="92"/>
      <c r="M15" s="92"/>
      <c r="N15" s="92"/>
      <c r="O15" s="92">
        <f>G15</f>
        <v>4.8686800000000003</v>
      </c>
      <c r="P15" s="92"/>
      <c r="Q15" s="92"/>
      <c r="R15" s="92"/>
      <c r="S15" s="92"/>
      <c r="T15" s="92"/>
      <c r="U15" s="331">
        <v>1</v>
      </c>
      <c r="V15" s="92"/>
      <c r="W15" s="92"/>
      <c r="X15" s="92"/>
      <c r="Y15" s="92"/>
      <c r="Z15" s="92"/>
      <c r="AA15" s="92">
        <f>U15*G15</f>
        <v>4.8686800000000003</v>
      </c>
      <c r="AB15" s="92"/>
      <c r="AC15" s="92"/>
      <c r="AD15" s="92"/>
      <c r="AE15" s="92"/>
      <c r="AF15" s="92"/>
      <c r="AG15" s="92"/>
      <c r="AH15" s="92"/>
    </row>
    <row r="16" spans="2:41">
      <c r="B16" s="111"/>
      <c r="C16" s="164" t="s">
        <v>56</v>
      </c>
      <c r="D16" s="668"/>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row>
    <row r="17" spans="2:34">
      <c r="B17" s="111"/>
      <c r="C17" s="164" t="s">
        <v>346</v>
      </c>
      <c r="D17" s="668"/>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row>
    <row r="18" spans="2:34">
      <c r="B18" s="111"/>
      <c r="C18" s="165" t="s">
        <v>347</v>
      </c>
      <c r="D18" s="668"/>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row>
    <row r="19" spans="2:34">
      <c r="B19" s="111"/>
      <c r="C19" s="159" t="s">
        <v>348</v>
      </c>
      <c r="D19" s="668"/>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row>
    <row r="20" spans="2:34">
      <c r="B20" s="111"/>
      <c r="C20" s="159" t="s">
        <v>348</v>
      </c>
      <c r="D20" s="668"/>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row>
    <row r="21" spans="2:34">
      <c r="B21" s="111"/>
      <c r="C21" s="165" t="s">
        <v>349</v>
      </c>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row>
    <row r="22" spans="2:34">
      <c r="B22" s="111"/>
      <c r="C22" s="159" t="s">
        <v>348</v>
      </c>
      <c r="D22" s="668"/>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row>
    <row r="23" spans="2:34">
      <c r="B23" s="111"/>
      <c r="C23" s="159" t="s">
        <v>348</v>
      </c>
      <c r="D23" s="668"/>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row>
    <row r="24" spans="2:34">
      <c r="B24" s="111">
        <v>3</v>
      </c>
      <c r="C24" s="163" t="s">
        <v>350</v>
      </c>
      <c r="D24" s="669" t="s">
        <v>387</v>
      </c>
      <c r="E24" s="353"/>
      <c r="F24" s="353"/>
      <c r="G24" s="353">
        <f>'F3.1'!M19</f>
        <v>199.76220000000001</v>
      </c>
      <c r="H24" s="359"/>
      <c r="I24" s="353"/>
      <c r="J24" s="353"/>
      <c r="K24" s="353"/>
      <c r="L24" s="353"/>
      <c r="M24" s="353"/>
      <c r="N24" s="353"/>
      <c r="P24" s="353">
        <f>G24</f>
        <v>199.76220000000001</v>
      </c>
      <c r="Q24" s="353"/>
      <c r="R24" s="353"/>
      <c r="S24" s="353"/>
      <c r="T24" s="353"/>
      <c r="V24" s="360">
        <v>1</v>
      </c>
      <c r="W24" s="353"/>
      <c r="X24" s="353"/>
      <c r="Y24" s="353"/>
      <c r="Z24" s="353"/>
      <c r="AA24" s="353"/>
      <c r="AB24" s="353">
        <f>P24*V24</f>
        <v>199.76220000000001</v>
      </c>
      <c r="AC24" s="353"/>
      <c r="AD24" s="353"/>
      <c r="AE24" s="353"/>
      <c r="AF24" s="353"/>
      <c r="AG24" s="353"/>
      <c r="AH24" s="353"/>
    </row>
    <row r="25" spans="2:34">
      <c r="B25" s="111"/>
      <c r="C25" s="361" t="s">
        <v>348</v>
      </c>
      <c r="D25" s="668"/>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row>
    <row r="26" spans="2:34">
      <c r="B26" s="111"/>
      <c r="C26" s="159" t="s">
        <v>348</v>
      </c>
      <c r="D26" s="668"/>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row>
    <row r="27" spans="2:34">
      <c r="B27" s="111"/>
      <c r="C27" s="166"/>
      <c r="D27" s="668"/>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row>
    <row r="28" spans="2:34">
      <c r="B28" s="111"/>
      <c r="C28" s="164" t="s">
        <v>57</v>
      </c>
      <c r="D28" s="668"/>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row>
    <row r="29" spans="2:34">
      <c r="B29" s="111"/>
      <c r="C29" s="164" t="s">
        <v>346</v>
      </c>
      <c r="D29" s="668"/>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row>
    <row r="30" spans="2:34">
      <c r="B30" s="111"/>
      <c r="C30" s="165" t="s">
        <v>347</v>
      </c>
      <c r="D30" s="668"/>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row>
    <row r="31" spans="2:34">
      <c r="B31" s="111"/>
      <c r="C31" s="159" t="s">
        <v>348</v>
      </c>
      <c r="D31" s="668"/>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row>
    <row r="32" spans="2:34">
      <c r="B32" s="111"/>
      <c r="C32" s="159" t="s">
        <v>348</v>
      </c>
      <c r="D32" s="668"/>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row>
    <row r="33" spans="2:34">
      <c r="B33" s="111"/>
      <c r="C33" s="165" t="s">
        <v>349</v>
      </c>
      <c r="D33" s="668"/>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row>
    <row r="34" spans="2:34">
      <c r="B34" s="111"/>
      <c r="C34" s="159" t="s">
        <v>348</v>
      </c>
      <c r="D34" s="668"/>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row>
    <row r="35" spans="2:34">
      <c r="B35" s="111"/>
      <c r="C35" s="159" t="s">
        <v>348</v>
      </c>
      <c r="D35" s="668"/>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row>
    <row r="36" spans="2:34">
      <c r="B36" s="111">
        <v>4</v>
      </c>
      <c r="C36" s="163" t="s">
        <v>350</v>
      </c>
      <c r="D36" s="668" t="s">
        <v>388</v>
      </c>
      <c r="E36" s="92"/>
      <c r="F36" s="92"/>
      <c r="G36" s="92">
        <f>'F3.1'!M31</f>
        <v>30</v>
      </c>
      <c r="H36" s="92"/>
      <c r="I36" s="92"/>
      <c r="J36" s="92"/>
      <c r="K36" s="92"/>
      <c r="L36" s="92"/>
      <c r="M36" s="92"/>
      <c r="N36" s="92"/>
      <c r="O36" s="92"/>
      <c r="P36" s="92"/>
      <c r="Q36" s="92">
        <f>G36</f>
        <v>30</v>
      </c>
      <c r="R36" s="92"/>
      <c r="S36" s="92"/>
      <c r="T36" s="92"/>
      <c r="U36" s="92"/>
      <c r="V36" s="92"/>
      <c r="W36" s="331">
        <v>1</v>
      </c>
      <c r="X36" s="331"/>
      <c r="Y36" s="92"/>
      <c r="Z36" s="92"/>
      <c r="AA36" s="92"/>
      <c r="AB36" s="92"/>
      <c r="AC36" s="92">
        <f>W36*Q36</f>
        <v>30</v>
      </c>
      <c r="AD36" s="92"/>
      <c r="AE36" s="92"/>
      <c r="AF36" s="92"/>
      <c r="AG36" s="92"/>
      <c r="AH36" s="92"/>
    </row>
    <row r="37" spans="2:34">
      <c r="B37" s="111"/>
      <c r="C37" s="159" t="s">
        <v>348</v>
      </c>
      <c r="D37" s="668"/>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row>
    <row r="38" spans="2:34">
      <c r="B38" s="111"/>
      <c r="C38" s="159" t="s">
        <v>348</v>
      </c>
      <c r="D38" s="668"/>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row>
    <row r="39" spans="2:34">
      <c r="B39" s="111"/>
      <c r="C39" s="166"/>
      <c r="D39" s="668"/>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row>
    <row r="40" spans="2:34">
      <c r="B40" s="111"/>
      <c r="C40" s="164" t="s">
        <v>58</v>
      </c>
      <c r="D40" s="668"/>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row>
    <row r="41" spans="2:34">
      <c r="B41" s="111"/>
      <c r="C41" s="159" t="s">
        <v>348</v>
      </c>
      <c r="D41" s="668"/>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row>
    <row r="42" spans="2:34" ht="41.45">
      <c r="B42" s="111">
        <v>5</v>
      </c>
      <c r="C42" s="609" t="s">
        <v>350</v>
      </c>
      <c r="D42" s="362" t="s">
        <v>353</v>
      </c>
      <c r="E42" s="92"/>
      <c r="F42" s="92"/>
      <c r="G42" s="92">
        <f>'F3.1'!M37</f>
        <v>40</v>
      </c>
      <c r="H42" s="92"/>
      <c r="I42" s="92"/>
      <c r="J42" s="92"/>
      <c r="K42" s="92"/>
      <c r="L42" s="92"/>
      <c r="M42" s="92"/>
      <c r="N42" s="92"/>
      <c r="P42" s="92"/>
      <c r="Q42" s="92"/>
      <c r="R42" s="92">
        <f>'F3'!F10</f>
        <v>40</v>
      </c>
      <c r="S42" s="92"/>
      <c r="T42" s="92"/>
      <c r="U42" s="92"/>
      <c r="V42" s="92"/>
      <c r="W42" s="92"/>
      <c r="X42" s="331">
        <v>1</v>
      </c>
      <c r="Y42" s="92"/>
      <c r="Z42" s="92"/>
      <c r="AA42" s="92"/>
      <c r="AB42" s="92"/>
      <c r="AC42" s="92"/>
      <c r="AD42" s="92">
        <f>R42*X42</f>
        <v>40</v>
      </c>
      <c r="AE42" s="92"/>
      <c r="AF42" s="92"/>
      <c r="AG42" s="92"/>
      <c r="AH42" s="92"/>
    </row>
    <row r="43" spans="2:34">
      <c r="B43" s="111"/>
      <c r="C43" s="166"/>
      <c r="D43" s="668"/>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row>
    <row r="44" spans="2:34">
      <c r="B44" s="111"/>
      <c r="C44" s="164" t="s">
        <v>59</v>
      </c>
      <c r="D44" s="668"/>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row>
    <row r="45" spans="2:34">
      <c r="B45" s="111"/>
      <c r="C45" s="159" t="s">
        <v>348</v>
      </c>
      <c r="D45" s="668"/>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row>
    <row r="46" spans="2:34" ht="27.6">
      <c r="B46" s="111">
        <v>6</v>
      </c>
      <c r="C46" s="609" t="s">
        <v>350</v>
      </c>
      <c r="D46" s="362" t="s">
        <v>389</v>
      </c>
      <c r="E46" s="92"/>
      <c r="F46" s="92"/>
      <c r="G46" s="92">
        <f>'F3.1'!M46</f>
        <v>90</v>
      </c>
      <c r="H46" s="92"/>
      <c r="I46" s="92"/>
      <c r="J46" s="92"/>
      <c r="K46" s="92"/>
      <c r="L46" s="92"/>
      <c r="M46" s="92"/>
      <c r="N46" s="92"/>
      <c r="O46" s="92"/>
      <c r="P46" s="92"/>
      <c r="Q46" s="92"/>
      <c r="R46" s="92"/>
      <c r="S46" s="92">
        <f>G46</f>
        <v>90</v>
      </c>
      <c r="T46" s="92"/>
      <c r="U46" s="92"/>
      <c r="V46" s="92"/>
      <c r="W46" s="92"/>
      <c r="X46" s="92"/>
      <c r="Y46" s="331">
        <v>1</v>
      </c>
      <c r="Z46" s="92"/>
      <c r="AA46" s="92"/>
      <c r="AB46" s="92"/>
      <c r="AC46" s="92"/>
      <c r="AD46" s="92"/>
      <c r="AE46" s="92">
        <f>S46*Y46</f>
        <v>90</v>
      </c>
      <c r="AF46" s="92"/>
      <c r="AG46" s="92"/>
      <c r="AH46" s="92"/>
    </row>
    <row r="47" spans="2:34">
      <c r="B47" s="111"/>
      <c r="C47" s="166"/>
      <c r="D47" s="668"/>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row>
    <row r="48" spans="2:34">
      <c r="B48" s="111"/>
      <c r="C48" s="164" t="s">
        <v>60</v>
      </c>
      <c r="D48" s="668"/>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row>
    <row r="49" spans="2:34">
      <c r="B49" s="111"/>
      <c r="C49" s="159" t="s">
        <v>348</v>
      </c>
      <c r="D49" s="668"/>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row>
    <row r="50" spans="2:34">
      <c r="B50" s="111"/>
      <c r="C50" s="165" t="s">
        <v>349</v>
      </c>
      <c r="D50" s="668"/>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row>
    <row r="51" spans="2:34">
      <c r="B51" s="111"/>
      <c r="C51" s="159"/>
      <c r="D51" s="668"/>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row>
    <row r="52" spans="2:34">
      <c r="B52" s="112"/>
      <c r="C52" s="109" t="s">
        <v>355</v>
      </c>
      <c r="D52" s="670"/>
      <c r="E52" s="98"/>
      <c r="F52" s="98"/>
      <c r="G52" s="98">
        <f>SUM(G13:G51)</f>
        <v>479.91046</v>
      </c>
      <c r="H52" s="98"/>
      <c r="I52" s="98"/>
      <c r="J52" s="98"/>
      <c r="K52" s="98"/>
      <c r="L52" s="98"/>
      <c r="M52" s="98"/>
      <c r="N52" s="98"/>
      <c r="O52" s="332">
        <f>SUM(O16:O51)</f>
        <v>0</v>
      </c>
      <c r="P52" s="332">
        <f t="shared" ref="P52:AF52" si="0">SUM(P16:P51)</f>
        <v>199.76220000000001</v>
      </c>
      <c r="Q52" s="332">
        <f t="shared" si="0"/>
        <v>30</v>
      </c>
      <c r="R52" s="332">
        <f t="shared" si="0"/>
        <v>40</v>
      </c>
      <c r="S52" s="332">
        <f t="shared" si="0"/>
        <v>90</v>
      </c>
      <c r="T52" s="332">
        <f t="shared" si="0"/>
        <v>0</v>
      </c>
      <c r="U52" s="332">
        <f t="shared" si="0"/>
        <v>0</v>
      </c>
      <c r="V52" s="332">
        <f t="shared" si="0"/>
        <v>1</v>
      </c>
      <c r="W52" s="332">
        <f t="shared" si="0"/>
        <v>1</v>
      </c>
      <c r="X52" s="332">
        <f t="shared" si="0"/>
        <v>1</v>
      </c>
      <c r="Y52" s="332">
        <f t="shared" si="0"/>
        <v>1</v>
      </c>
      <c r="Z52" s="332">
        <f t="shared" si="0"/>
        <v>0</v>
      </c>
      <c r="AA52" s="332">
        <f t="shared" si="0"/>
        <v>0</v>
      </c>
      <c r="AB52" s="332">
        <f t="shared" si="0"/>
        <v>199.76220000000001</v>
      </c>
      <c r="AC52" s="332">
        <f t="shared" si="0"/>
        <v>30</v>
      </c>
      <c r="AD52" s="332">
        <f t="shared" si="0"/>
        <v>40</v>
      </c>
      <c r="AE52" s="332">
        <f t="shared" si="0"/>
        <v>90</v>
      </c>
      <c r="AF52" s="332">
        <f t="shared" si="0"/>
        <v>0</v>
      </c>
      <c r="AG52" s="98"/>
      <c r="AH52" s="98"/>
    </row>
    <row r="54" spans="2:34">
      <c r="C54" s="502" t="s">
        <v>369</v>
      </c>
      <c r="D54" s="671"/>
      <c r="E54" s="207"/>
      <c r="F54" s="207"/>
    </row>
  </sheetData>
  <mergeCells count="19">
    <mergeCell ref="O10:T10"/>
    <mergeCell ref="U10:Z10"/>
    <mergeCell ref="AA10:AF10"/>
    <mergeCell ref="AG10:AH10"/>
    <mergeCell ref="AG11:AG12"/>
    <mergeCell ref="AH11:AH12"/>
    <mergeCell ref="N10:N12"/>
    <mergeCell ref="B10:B12"/>
    <mergeCell ref="C10:C12"/>
    <mergeCell ref="D10:D12"/>
    <mergeCell ref="E10:E12"/>
    <mergeCell ref="F10:F12"/>
    <mergeCell ref="G10:G12"/>
    <mergeCell ref="H10:H12"/>
    <mergeCell ref="J10:J12"/>
    <mergeCell ref="K10:K12"/>
    <mergeCell ref="L10:L12"/>
    <mergeCell ref="M10:M12"/>
    <mergeCell ref="I10:I12"/>
  </mergeCells>
  <printOptions verticalCentered="1"/>
  <pageMargins left="0" right="0" top="0.25" bottom="0.25" header="0.25" footer="0.25"/>
  <pageSetup paperSize="9" scale="24" orientation="landscape" r:id="rId1"/>
  <headerFooter alignWithMargins="0">
    <oddHeader>&amp;F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K50"/>
  <sheetViews>
    <sheetView showGridLines="0" view="pageBreakPreview" topLeftCell="A11" zoomScale="60" zoomScaleNormal="80" zoomScaleSheetLayoutView="85" workbookViewId="0">
      <selection activeCell="L20" sqref="L20"/>
    </sheetView>
  </sheetViews>
  <sheetFormatPr defaultColWidth="9.140625" defaultRowHeight="13.9"/>
  <cols>
    <col min="1" max="1" width="4.5703125" style="70" customWidth="1"/>
    <col min="2" max="2" width="8.42578125" style="70" customWidth="1"/>
    <col min="3" max="3" width="46.42578125" style="70" customWidth="1"/>
    <col min="4" max="7" width="17.85546875" style="70" customWidth="1"/>
    <col min="8" max="8" width="16.5703125" style="70" customWidth="1"/>
    <col min="9" max="10" width="15.5703125" style="70" customWidth="1"/>
    <col min="11" max="11" width="15.42578125" style="70" customWidth="1"/>
    <col min="12" max="12" width="14.42578125" style="70" customWidth="1"/>
    <col min="13" max="13" width="14.5703125" style="70" customWidth="1"/>
    <col min="14" max="14" width="16.85546875" style="70" customWidth="1"/>
    <col min="15" max="15" width="13.42578125" style="70" customWidth="1"/>
    <col min="16" max="19" width="14.42578125" style="70" customWidth="1"/>
    <col min="20" max="20" width="12" style="70" customWidth="1"/>
    <col min="21" max="21" width="13.42578125" style="70" bestFit="1" customWidth="1"/>
    <col min="22" max="24" width="12.5703125" style="70" customWidth="1"/>
    <col min="25" max="25" width="14.85546875" style="70" customWidth="1"/>
    <col min="26" max="26" width="12.85546875" style="70" customWidth="1"/>
    <col min="27" max="27" width="14.42578125" style="70" customWidth="1"/>
    <col min="28" max="28" width="16" style="70" customWidth="1"/>
    <col min="29" max="29" width="12.5703125" style="70" customWidth="1"/>
    <col min="30" max="30" width="14" style="70" customWidth="1"/>
    <col min="31" max="33" width="12.5703125" style="70" customWidth="1"/>
    <col min="34" max="34" width="15.42578125" style="70" customWidth="1"/>
    <col min="35" max="35" width="12.5703125" style="70" customWidth="1"/>
    <col min="36" max="36" width="13.42578125" style="70" customWidth="1"/>
    <col min="37" max="37" width="13.5703125" style="70" customWidth="1"/>
    <col min="38" max="40" width="9.140625" style="70"/>
    <col min="41" max="41" width="11.42578125" style="70" customWidth="1"/>
    <col min="42" max="16384" width="9.140625" style="70"/>
  </cols>
  <sheetData>
    <row r="1" spans="2:37" ht="15.75" customHeight="1"/>
    <row r="2" spans="2:37" ht="15" customHeight="1">
      <c r="C2" s="102"/>
      <c r="D2" s="102"/>
      <c r="E2" s="102"/>
      <c r="F2" s="102"/>
      <c r="G2" s="102"/>
      <c r="H2" s="52" t="s">
        <v>0</v>
      </c>
      <c r="I2" s="102"/>
      <c r="J2" s="102"/>
      <c r="K2" s="102"/>
      <c r="L2" s="102"/>
      <c r="M2" s="103"/>
      <c r="N2" s="103"/>
      <c r="O2" s="103"/>
    </row>
    <row r="3" spans="2:37" ht="15" customHeight="1">
      <c r="C3" s="104"/>
      <c r="D3" s="104"/>
      <c r="E3" s="104"/>
      <c r="F3" s="104"/>
      <c r="G3" s="104"/>
      <c r="H3" s="55" t="s">
        <v>1</v>
      </c>
      <c r="I3" s="104"/>
      <c r="J3" s="104"/>
      <c r="K3" s="104"/>
      <c r="L3" s="104"/>
      <c r="M3" s="105"/>
      <c r="N3" s="105"/>
      <c r="O3" s="105"/>
      <c r="P3" s="84"/>
      <c r="Q3" s="84"/>
      <c r="R3" s="84"/>
      <c r="S3" s="84"/>
    </row>
    <row r="4" spans="2:37" ht="15" customHeight="1">
      <c r="C4" s="85"/>
      <c r="D4" s="85"/>
      <c r="E4" s="85"/>
      <c r="F4" s="85"/>
      <c r="G4" s="85"/>
      <c r="H4" s="86" t="s">
        <v>390</v>
      </c>
      <c r="I4" s="85"/>
      <c r="J4" s="85"/>
      <c r="K4" s="85"/>
      <c r="L4" s="85"/>
      <c r="M4" s="87"/>
      <c r="N4" s="87"/>
      <c r="O4" s="87"/>
      <c r="P4" s="84"/>
      <c r="Q4" s="84"/>
      <c r="R4" s="84"/>
      <c r="S4" s="84"/>
    </row>
    <row r="5" spans="2:37">
      <c r="C5" s="88"/>
      <c r="D5" s="88"/>
      <c r="E5" s="88"/>
      <c r="F5" s="88"/>
      <c r="G5" s="88"/>
      <c r="H5" s="89"/>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row>
    <row r="6" spans="2:37">
      <c r="C6" s="88"/>
      <c r="D6" s="88"/>
      <c r="E6" s="88"/>
      <c r="F6" s="88"/>
      <c r="G6" s="88"/>
      <c r="H6" s="89"/>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row>
    <row r="7" spans="2:37" ht="15.75" customHeight="1">
      <c r="C7" s="89" t="s">
        <v>326</v>
      </c>
      <c r="D7" s="89"/>
      <c r="E7" s="89"/>
      <c r="F7" s="89"/>
      <c r="G7" s="89"/>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row>
    <row r="8" spans="2:37">
      <c r="C8" s="88"/>
      <c r="D8" s="88"/>
      <c r="E8" s="88"/>
      <c r="F8" s="88"/>
      <c r="G8" s="88"/>
      <c r="H8" s="88"/>
      <c r="I8" s="84"/>
      <c r="J8" s="84"/>
      <c r="K8" s="84"/>
      <c r="L8" s="84"/>
      <c r="M8" s="84"/>
      <c r="N8" s="90" t="s">
        <v>52</v>
      </c>
      <c r="O8" s="84"/>
      <c r="P8" s="84"/>
      <c r="Q8" s="84"/>
      <c r="R8" s="84"/>
      <c r="S8" s="84"/>
      <c r="T8" s="84"/>
      <c r="U8" s="84"/>
      <c r="V8" s="90"/>
      <c r="W8" s="84"/>
      <c r="Y8" s="84"/>
      <c r="Z8" s="84"/>
      <c r="AC8" s="90"/>
      <c r="AD8" s="90"/>
      <c r="AE8" s="90"/>
      <c r="AF8" s="90"/>
      <c r="AG8" s="90"/>
      <c r="AH8" s="84"/>
      <c r="AI8" s="84"/>
      <c r="AJ8" s="84"/>
    </row>
    <row r="9" spans="2:37" ht="15" customHeight="1">
      <c r="B9" s="799" t="s">
        <v>2</v>
      </c>
      <c r="C9" s="799" t="s">
        <v>327</v>
      </c>
      <c r="D9" s="799" t="s">
        <v>329</v>
      </c>
      <c r="E9" s="799" t="s">
        <v>330</v>
      </c>
      <c r="F9" s="799" t="s">
        <v>391</v>
      </c>
      <c r="G9" s="799" t="s">
        <v>392</v>
      </c>
      <c r="H9" s="799" t="s">
        <v>393</v>
      </c>
      <c r="I9" s="799" t="s">
        <v>394</v>
      </c>
      <c r="J9" s="799" t="s">
        <v>395</v>
      </c>
      <c r="K9" s="799" t="s">
        <v>396</v>
      </c>
      <c r="L9" s="799"/>
      <c r="M9" s="799"/>
      <c r="N9" s="799"/>
      <c r="O9" s="799" t="s">
        <v>397</v>
      </c>
      <c r="P9" s="814"/>
      <c r="Q9" s="814"/>
      <c r="R9" s="814"/>
      <c r="S9" s="814"/>
      <c r="T9" s="814"/>
      <c r="U9" s="814"/>
      <c r="V9" s="814"/>
    </row>
    <row r="10" spans="2:37" ht="25.5" customHeight="1">
      <c r="B10" s="799"/>
      <c r="C10" s="799"/>
      <c r="D10" s="799"/>
      <c r="E10" s="799"/>
      <c r="F10" s="799"/>
      <c r="G10" s="799"/>
      <c r="H10" s="799"/>
      <c r="I10" s="799"/>
      <c r="J10" s="799"/>
      <c r="K10" s="799"/>
      <c r="L10" s="799"/>
      <c r="M10" s="799"/>
      <c r="N10" s="799"/>
      <c r="O10" s="799"/>
      <c r="P10" s="814"/>
      <c r="Q10" s="814"/>
      <c r="R10" s="814"/>
      <c r="S10" s="814"/>
      <c r="T10" s="814"/>
      <c r="U10" s="814"/>
      <c r="V10" s="814"/>
    </row>
    <row r="11" spans="2:37" ht="49.5" customHeight="1">
      <c r="B11" s="799"/>
      <c r="C11" s="799"/>
      <c r="D11" s="799"/>
      <c r="E11" s="799"/>
      <c r="F11" s="799"/>
      <c r="G11" s="799"/>
      <c r="H11" s="799"/>
      <c r="I11" s="799"/>
      <c r="J11" s="799"/>
      <c r="K11" s="114" t="s">
        <v>398</v>
      </c>
      <c r="L11" s="114" t="s">
        <v>399</v>
      </c>
      <c r="M11" s="114" t="s">
        <v>400</v>
      </c>
      <c r="N11" s="114" t="s">
        <v>401</v>
      </c>
      <c r="O11" s="799"/>
      <c r="P11" s="814"/>
      <c r="Q11" s="814"/>
      <c r="R11" s="814"/>
      <c r="S11" s="814"/>
      <c r="T11" s="814"/>
      <c r="U11" s="814"/>
      <c r="V11" s="814"/>
    </row>
    <row r="12" spans="2:37">
      <c r="B12" s="91"/>
      <c r="C12" s="164" t="s">
        <v>56</v>
      </c>
      <c r="D12" s="93"/>
      <c r="E12" s="93"/>
      <c r="F12" s="92"/>
      <c r="G12" s="92"/>
      <c r="H12" s="92"/>
      <c r="I12" s="92"/>
      <c r="J12" s="92"/>
      <c r="K12" s="92"/>
      <c r="L12" s="92"/>
      <c r="M12" s="92"/>
      <c r="N12" s="92"/>
      <c r="O12" s="92"/>
    </row>
    <row r="13" spans="2:37">
      <c r="B13" s="91"/>
      <c r="C13" s="164" t="s">
        <v>346</v>
      </c>
      <c r="D13" s="93"/>
      <c r="E13" s="93"/>
      <c r="F13" s="92"/>
      <c r="G13" s="92"/>
      <c r="H13" s="92"/>
      <c r="I13" s="92"/>
      <c r="J13" s="92"/>
      <c r="K13" s="92"/>
      <c r="L13" s="92"/>
      <c r="M13" s="92"/>
      <c r="N13" s="92"/>
      <c r="O13" s="92"/>
    </row>
    <row r="14" spans="2:37">
      <c r="B14" s="91"/>
      <c r="C14" s="165" t="s">
        <v>347</v>
      </c>
      <c r="D14" s="92"/>
      <c r="E14" s="92"/>
      <c r="F14" s="92"/>
      <c r="G14" s="92"/>
      <c r="H14" s="92"/>
      <c r="I14" s="92"/>
      <c r="J14" s="92"/>
      <c r="K14" s="92"/>
      <c r="L14" s="92"/>
      <c r="M14" s="92"/>
      <c r="N14" s="92"/>
      <c r="O14" s="92"/>
    </row>
    <row r="15" spans="2:37">
      <c r="B15" s="91"/>
      <c r="C15" s="159"/>
      <c r="D15" s="92"/>
      <c r="E15" s="92"/>
      <c r="F15" s="92"/>
      <c r="G15" s="92"/>
      <c r="H15" s="92"/>
      <c r="I15" s="92"/>
      <c r="J15" s="92"/>
      <c r="K15" s="92"/>
      <c r="L15" s="92"/>
      <c r="M15" s="92"/>
      <c r="N15" s="92"/>
      <c r="O15" s="92"/>
    </row>
    <row r="16" spans="2:37">
      <c r="B16" s="91"/>
      <c r="C16" s="159"/>
      <c r="D16" s="92"/>
      <c r="E16" s="92"/>
      <c r="F16" s="92"/>
      <c r="G16" s="92"/>
      <c r="H16" s="92"/>
      <c r="I16" s="92"/>
      <c r="J16" s="92"/>
      <c r="K16" s="92"/>
      <c r="L16" s="92"/>
      <c r="M16" s="92"/>
      <c r="N16" s="92"/>
      <c r="O16" s="92"/>
    </row>
    <row r="17" spans="2:15">
      <c r="B17" s="91"/>
      <c r="C17" s="165" t="s">
        <v>349</v>
      </c>
      <c r="D17" s="95"/>
      <c r="E17" s="95"/>
      <c r="F17" s="92"/>
      <c r="G17" s="92"/>
      <c r="H17" s="92"/>
      <c r="I17" s="92"/>
      <c r="J17" s="92"/>
      <c r="K17" s="92"/>
      <c r="L17" s="92"/>
      <c r="M17" s="92"/>
      <c r="N17" s="92"/>
      <c r="O17" s="92"/>
    </row>
    <row r="18" spans="2:15">
      <c r="B18" s="91"/>
      <c r="C18" s="159"/>
      <c r="D18" s="92"/>
      <c r="E18" s="92"/>
      <c r="F18" s="92"/>
      <c r="G18" s="92"/>
      <c r="H18" s="92"/>
      <c r="I18" s="92"/>
      <c r="J18" s="92"/>
      <c r="K18" s="92"/>
      <c r="L18" s="92"/>
      <c r="M18" s="92"/>
      <c r="N18" s="92"/>
      <c r="O18" s="92"/>
    </row>
    <row r="19" spans="2:15">
      <c r="B19" s="91"/>
      <c r="C19" s="159" t="s">
        <v>348</v>
      </c>
      <c r="D19" s="92"/>
      <c r="E19" s="92"/>
      <c r="F19" s="92"/>
      <c r="G19" s="92"/>
      <c r="H19" s="92"/>
      <c r="I19" s="92"/>
      <c r="J19" s="92"/>
      <c r="K19" s="92"/>
      <c r="L19" s="92"/>
      <c r="M19" s="92"/>
      <c r="N19" s="92"/>
      <c r="O19" s="92"/>
    </row>
    <row r="20" spans="2:15">
      <c r="B20" s="91"/>
      <c r="C20" s="163" t="s">
        <v>350</v>
      </c>
      <c r="D20" s="389" t="s">
        <v>387</v>
      </c>
      <c r="E20" s="95"/>
      <c r="F20" s="92"/>
      <c r="G20" s="92"/>
      <c r="H20" s="92">
        <f>'F3.1'!M19</f>
        <v>199.76220000000001</v>
      </c>
      <c r="I20" s="390">
        <v>0</v>
      </c>
      <c r="J20" s="92">
        <f>H20</f>
        <v>199.76220000000001</v>
      </c>
      <c r="K20" s="92">
        <f>J20</f>
        <v>199.76220000000001</v>
      </c>
      <c r="L20" s="390" t="e">
        <f>#REF!</f>
        <v>#REF!</v>
      </c>
      <c r="N20" s="390" t="e">
        <f>SUM(K20:M20)</f>
        <v>#REF!</v>
      </c>
      <c r="O20" s="391">
        <v>0</v>
      </c>
    </row>
    <row r="21" spans="2:15">
      <c r="B21" s="91"/>
      <c r="C21" s="159" t="s">
        <v>348</v>
      </c>
      <c r="D21" s="92"/>
      <c r="E21" s="92"/>
      <c r="F21" s="92"/>
      <c r="G21" s="92"/>
      <c r="H21" s="92"/>
      <c r="I21" s="92"/>
      <c r="J21" s="92"/>
      <c r="K21" s="92"/>
      <c r="L21" s="92"/>
      <c r="M21" s="92"/>
      <c r="N21" s="92"/>
      <c r="O21" s="92"/>
    </row>
    <row r="22" spans="2:15">
      <c r="B22" s="91"/>
      <c r="C22" s="159" t="s">
        <v>348</v>
      </c>
      <c r="D22" s="92"/>
      <c r="E22" s="92"/>
      <c r="F22" s="92"/>
      <c r="G22" s="92"/>
      <c r="H22" s="92"/>
      <c r="I22" s="92"/>
      <c r="J22" s="92"/>
      <c r="K22" s="92"/>
      <c r="L22" s="92"/>
      <c r="M22" s="92"/>
      <c r="N22" s="92"/>
      <c r="O22" s="92"/>
    </row>
    <row r="23" spans="2:15">
      <c r="B23" s="91"/>
      <c r="C23" s="166"/>
      <c r="D23" s="97"/>
      <c r="E23" s="97"/>
      <c r="F23" s="92"/>
      <c r="G23" s="92"/>
      <c r="H23" s="92"/>
      <c r="I23" s="92"/>
      <c r="J23" s="92"/>
      <c r="K23" s="92"/>
      <c r="L23" s="92"/>
      <c r="M23" s="92"/>
      <c r="N23" s="92"/>
      <c r="O23" s="92"/>
    </row>
    <row r="24" spans="2:15">
      <c r="B24" s="91"/>
      <c r="C24" s="164" t="s">
        <v>57</v>
      </c>
      <c r="D24" s="93"/>
      <c r="E24" s="93"/>
      <c r="F24" s="92"/>
      <c r="G24" s="92"/>
      <c r="H24" s="92"/>
      <c r="I24" s="92"/>
      <c r="J24" s="92"/>
      <c r="K24" s="92"/>
      <c r="L24" s="92"/>
      <c r="M24" s="92"/>
      <c r="N24" s="92"/>
      <c r="O24" s="92"/>
    </row>
    <row r="25" spans="2:15">
      <c r="B25" s="91"/>
      <c r="C25" s="164" t="s">
        <v>346</v>
      </c>
      <c r="D25" s="93"/>
      <c r="E25" s="93"/>
      <c r="F25" s="92"/>
      <c r="G25" s="92"/>
      <c r="H25" s="92"/>
      <c r="I25" s="92"/>
      <c r="J25" s="92"/>
      <c r="K25" s="92"/>
      <c r="L25" s="92"/>
      <c r="M25" s="92"/>
      <c r="N25" s="92"/>
      <c r="O25" s="92"/>
    </row>
    <row r="26" spans="2:15">
      <c r="B26" s="91"/>
      <c r="C26" s="165" t="s">
        <v>347</v>
      </c>
      <c r="D26" s="95"/>
      <c r="E26" s="95"/>
      <c r="F26" s="92"/>
      <c r="G26" s="92"/>
      <c r="H26" s="92"/>
      <c r="I26" s="92"/>
      <c r="J26" s="92"/>
      <c r="K26" s="92"/>
      <c r="L26" s="92"/>
      <c r="M26" s="92"/>
      <c r="N26" s="92"/>
      <c r="O26" s="92"/>
    </row>
    <row r="27" spans="2:15">
      <c r="B27" s="91"/>
      <c r="C27" s="159" t="s">
        <v>348</v>
      </c>
      <c r="D27" s="92"/>
      <c r="E27" s="92"/>
      <c r="F27" s="92"/>
      <c r="G27" s="92"/>
      <c r="H27" s="92"/>
      <c r="I27" s="92"/>
      <c r="J27" s="92"/>
      <c r="K27" s="92"/>
      <c r="L27" s="92"/>
      <c r="M27" s="92"/>
      <c r="N27" s="92"/>
      <c r="O27" s="92"/>
    </row>
    <row r="28" spans="2:15">
      <c r="B28" s="91"/>
      <c r="C28" s="159" t="s">
        <v>348</v>
      </c>
      <c r="D28" s="92"/>
      <c r="E28" s="92"/>
      <c r="F28" s="92"/>
      <c r="G28" s="92"/>
      <c r="H28" s="92"/>
      <c r="I28" s="92"/>
      <c r="J28" s="92"/>
      <c r="K28" s="92"/>
      <c r="L28" s="92"/>
      <c r="M28" s="92"/>
      <c r="N28" s="92"/>
      <c r="O28" s="92"/>
    </row>
    <row r="29" spans="2:15">
      <c r="B29" s="91"/>
      <c r="C29" s="495" t="s">
        <v>350</v>
      </c>
      <c r="D29" s="95"/>
      <c r="E29" s="95"/>
      <c r="F29" s="92"/>
      <c r="G29" s="92"/>
      <c r="H29" s="92"/>
      <c r="I29" s="391"/>
      <c r="J29" s="92"/>
      <c r="K29" s="92"/>
      <c r="L29" s="390"/>
      <c r="N29" s="390"/>
      <c r="O29" s="391"/>
    </row>
    <row r="30" spans="2:15">
      <c r="B30" s="91"/>
      <c r="C30" s="159" t="s">
        <v>348</v>
      </c>
      <c r="D30" s="92"/>
      <c r="E30" s="92"/>
      <c r="F30" s="92"/>
      <c r="G30" s="92"/>
      <c r="H30" s="92"/>
      <c r="I30" s="92"/>
      <c r="J30" s="92"/>
      <c r="K30" s="92"/>
      <c r="L30" s="92"/>
      <c r="M30" s="92"/>
      <c r="N30" s="92"/>
      <c r="O30" s="92"/>
    </row>
    <row r="31" spans="2:15">
      <c r="B31" s="91"/>
      <c r="C31" s="159" t="s">
        <v>348</v>
      </c>
      <c r="D31" s="92"/>
      <c r="E31" s="92"/>
      <c r="F31" s="92"/>
      <c r="G31" s="92"/>
      <c r="H31" s="92"/>
      <c r="I31" s="92"/>
      <c r="J31" s="92"/>
      <c r="K31" s="92"/>
      <c r="L31" s="92"/>
      <c r="M31" s="92"/>
      <c r="N31" s="92"/>
      <c r="O31" s="92"/>
    </row>
    <row r="32" spans="2:15">
      <c r="B32" s="91"/>
      <c r="C32" s="163"/>
      <c r="D32" s="91"/>
      <c r="E32" s="91"/>
      <c r="F32" s="92"/>
      <c r="G32" s="92"/>
      <c r="H32" s="92"/>
      <c r="I32" s="92"/>
      <c r="J32" s="92"/>
      <c r="K32" s="92"/>
      <c r="L32" s="92"/>
      <c r="M32" s="92"/>
      <c r="N32" s="92"/>
      <c r="O32" s="92"/>
    </row>
    <row r="33" spans="2:15">
      <c r="B33" s="91"/>
      <c r="C33" s="159" t="s">
        <v>348</v>
      </c>
      <c r="D33" s="92"/>
      <c r="E33" s="92"/>
      <c r="F33" s="92"/>
      <c r="G33" s="92"/>
      <c r="H33" s="92"/>
      <c r="I33" s="92"/>
      <c r="J33" s="92"/>
      <c r="K33" s="92"/>
      <c r="L33" s="92"/>
      <c r="M33" s="92"/>
      <c r="N33" s="92"/>
      <c r="O33" s="92"/>
    </row>
    <row r="34" spans="2:15">
      <c r="B34" s="91"/>
      <c r="C34" s="159" t="s">
        <v>348</v>
      </c>
      <c r="D34" s="92"/>
      <c r="E34" s="92"/>
      <c r="F34" s="92"/>
      <c r="G34" s="92"/>
      <c r="H34" s="92"/>
      <c r="I34" s="92"/>
      <c r="J34" s="92"/>
      <c r="K34" s="92"/>
      <c r="L34" s="390"/>
      <c r="M34" s="390"/>
      <c r="N34" s="92"/>
      <c r="O34" s="92"/>
    </row>
    <row r="35" spans="2:15">
      <c r="B35" s="91"/>
      <c r="C35" s="166"/>
      <c r="D35" s="97"/>
      <c r="E35" s="97"/>
      <c r="F35" s="92"/>
      <c r="G35" s="92"/>
      <c r="H35" s="92"/>
      <c r="I35" s="92"/>
      <c r="J35" s="92"/>
      <c r="K35" s="92"/>
      <c r="L35" s="92"/>
      <c r="M35" s="92"/>
      <c r="N35" s="92"/>
      <c r="O35" s="92"/>
    </row>
    <row r="36" spans="2:15">
      <c r="B36" s="91"/>
      <c r="C36" s="164" t="s">
        <v>58</v>
      </c>
      <c r="D36" s="93"/>
      <c r="E36" s="93"/>
      <c r="F36" s="92"/>
      <c r="G36" s="92"/>
      <c r="H36" s="92"/>
      <c r="I36" s="92"/>
      <c r="J36" s="92"/>
      <c r="K36" s="92"/>
      <c r="L36" s="92"/>
      <c r="M36" s="92"/>
      <c r="N36" s="92"/>
      <c r="O36" s="92"/>
    </row>
    <row r="37" spans="2:15">
      <c r="B37" s="91"/>
      <c r="C37" s="159" t="s">
        <v>348</v>
      </c>
      <c r="D37" s="92"/>
      <c r="E37" s="92"/>
      <c r="F37" s="92"/>
      <c r="G37" s="92"/>
      <c r="H37" s="92"/>
      <c r="I37" s="92"/>
      <c r="J37" s="92"/>
      <c r="K37" s="92"/>
      <c r="L37" s="92"/>
      <c r="M37" s="92"/>
      <c r="N37" s="92"/>
      <c r="O37" s="92"/>
    </row>
    <row r="38" spans="2:15">
      <c r="B38" s="91"/>
      <c r="C38" s="159" t="s">
        <v>348</v>
      </c>
      <c r="D38" s="92"/>
      <c r="E38" s="92"/>
      <c r="F38" s="92"/>
      <c r="G38" s="92"/>
      <c r="H38" s="92"/>
      <c r="I38" s="92"/>
      <c r="J38" s="92"/>
      <c r="K38" s="92"/>
      <c r="L38" s="92"/>
      <c r="M38" s="92"/>
      <c r="N38" s="92"/>
      <c r="O38" s="92"/>
    </row>
    <row r="39" spans="2:15">
      <c r="B39" s="91"/>
      <c r="C39" s="166"/>
      <c r="D39" s="97"/>
      <c r="E39" s="97"/>
      <c r="F39" s="92"/>
      <c r="G39" s="92"/>
      <c r="H39" s="92"/>
      <c r="I39" s="92"/>
      <c r="J39" s="92"/>
      <c r="K39" s="92"/>
      <c r="L39" s="92"/>
      <c r="M39" s="92"/>
      <c r="N39" s="92"/>
      <c r="O39" s="92"/>
    </row>
    <row r="40" spans="2:15">
      <c r="B40" s="91"/>
      <c r="C40" s="164" t="s">
        <v>59</v>
      </c>
      <c r="D40" s="93"/>
      <c r="E40" s="93"/>
      <c r="F40" s="92"/>
      <c r="G40" s="92"/>
      <c r="H40" s="92"/>
      <c r="I40" s="92"/>
      <c r="J40" s="92"/>
      <c r="K40" s="92"/>
      <c r="L40" s="92"/>
      <c r="M40" s="92"/>
      <c r="N40" s="92"/>
      <c r="O40" s="92"/>
    </row>
    <row r="41" spans="2:15">
      <c r="B41" s="91"/>
      <c r="C41" s="159" t="s">
        <v>348</v>
      </c>
      <c r="D41" s="92"/>
      <c r="E41" s="92"/>
      <c r="F41" s="92"/>
      <c r="G41" s="92"/>
      <c r="H41" s="92"/>
      <c r="I41" s="92"/>
      <c r="J41" s="92"/>
      <c r="K41" s="92"/>
      <c r="L41" s="92"/>
      <c r="M41" s="92"/>
      <c r="N41" s="92"/>
      <c r="O41" s="92"/>
    </row>
    <row r="42" spans="2:15">
      <c r="B42" s="91"/>
      <c r="C42" s="159" t="s">
        <v>348</v>
      </c>
      <c r="D42" s="92"/>
      <c r="E42" s="92"/>
      <c r="F42" s="92"/>
      <c r="G42" s="92"/>
      <c r="H42" s="92"/>
      <c r="I42" s="92"/>
      <c r="J42" s="92"/>
      <c r="K42" s="92"/>
      <c r="L42" s="92"/>
      <c r="M42" s="92"/>
      <c r="N42" s="92"/>
      <c r="O42" s="92"/>
    </row>
    <row r="43" spans="2:15">
      <c r="B43" s="91"/>
      <c r="C43" s="166"/>
      <c r="D43" s="92"/>
      <c r="E43" s="92"/>
      <c r="F43" s="92"/>
      <c r="G43" s="92"/>
      <c r="H43" s="92"/>
      <c r="I43" s="92"/>
      <c r="J43" s="92"/>
      <c r="K43" s="92"/>
      <c r="L43" s="92"/>
      <c r="M43" s="92"/>
      <c r="N43" s="92"/>
      <c r="O43" s="92"/>
    </row>
    <row r="44" spans="2:15">
      <c r="B44" s="91"/>
      <c r="C44" s="164" t="s">
        <v>60</v>
      </c>
      <c r="D44" s="91"/>
      <c r="E44" s="91"/>
      <c r="F44" s="92"/>
      <c r="G44" s="92"/>
      <c r="H44" s="92"/>
      <c r="I44" s="92"/>
      <c r="J44" s="92"/>
      <c r="K44" s="92"/>
      <c r="L44" s="92"/>
      <c r="M44" s="92"/>
      <c r="N44" s="92"/>
      <c r="O44" s="92"/>
    </row>
    <row r="45" spans="2:15">
      <c r="B45" s="91"/>
      <c r="C45" s="159" t="s">
        <v>348</v>
      </c>
      <c r="D45" s="91"/>
      <c r="E45" s="91"/>
      <c r="F45" s="92"/>
      <c r="G45" s="92"/>
      <c r="H45" s="92"/>
      <c r="I45" s="92"/>
      <c r="J45" s="92"/>
      <c r="K45" s="92"/>
      <c r="L45" s="92"/>
      <c r="M45" s="92"/>
      <c r="N45" s="92"/>
      <c r="O45" s="92"/>
    </row>
    <row r="46" spans="2:15">
      <c r="B46" s="91"/>
      <c r="C46" s="159" t="s">
        <v>348</v>
      </c>
      <c r="D46" s="91"/>
      <c r="E46" s="91"/>
      <c r="F46" s="92"/>
      <c r="G46" s="92"/>
      <c r="H46" s="92"/>
      <c r="I46" s="92"/>
      <c r="J46" s="92"/>
      <c r="K46" s="92"/>
      <c r="L46" s="92"/>
      <c r="M46" s="92"/>
      <c r="N46" s="92"/>
      <c r="O46" s="92"/>
    </row>
    <row r="47" spans="2:15">
      <c r="B47" s="92"/>
      <c r="C47" s="159"/>
      <c r="D47" s="92"/>
      <c r="E47" s="92"/>
      <c r="F47" s="92"/>
      <c r="G47" s="92"/>
      <c r="H47" s="92"/>
      <c r="I47" s="92"/>
      <c r="J47" s="92"/>
      <c r="K47" s="92"/>
      <c r="L47" s="92"/>
      <c r="M47" s="92"/>
      <c r="N47" s="92"/>
      <c r="O47" s="92"/>
    </row>
    <row r="48" spans="2:15">
      <c r="B48" s="98"/>
      <c r="C48" s="167" t="s">
        <v>355</v>
      </c>
      <c r="D48" s="109"/>
      <c r="E48" s="109"/>
      <c r="F48" s="98"/>
      <c r="G48" s="98"/>
      <c r="H48" s="98">
        <f t="shared" ref="H48:O48" si="0">SUM(H12:H47)</f>
        <v>199.76220000000001</v>
      </c>
      <c r="I48" s="98">
        <f t="shared" si="0"/>
        <v>0</v>
      </c>
      <c r="J48" s="98">
        <f t="shared" si="0"/>
        <v>199.76220000000001</v>
      </c>
      <c r="K48" s="98">
        <f t="shared" si="0"/>
        <v>199.76220000000001</v>
      </c>
      <c r="L48" s="98" t="e">
        <f t="shared" si="0"/>
        <v>#REF!</v>
      </c>
      <c r="M48" s="98">
        <f t="shared" si="0"/>
        <v>0</v>
      </c>
      <c r="N48" s="98" t="e">
        <f t="shared" si="0"/>
        <v>#REF!</v>
      </c>
      <c r="O48" s="98">
        <f t="shared" si="0"/>
        <v>0</v>
      </c>
    </row>
    <row r="50" spans="2:6">
      <c r="B50" s="207" t="s">
        <v>369</v>
      </c>
      <c r="C50" s="207"/>
      <c r="D50" s="207"/>
      <c r="E50" s="207"/>
      <c r="F50" s="207"/>
    </row>
  </sheetData>
  <mergeCells count="12">
    <mergeCell ref="P9:V11"/>
    <mergeCell ref="B9:B11"/>
    <mergeCell ref="C9:C11"/>
    <mergeCell ref="D9:D11"/>
    <mergeCell ref="E9:E11"/>
    <mergeCell ref="F9:F11"/>
    <mergeCell ref="G9:G11"/>
    <mergeCell ref="H9:H11"/>
    <mergeCell ref="I9:I11"/>
    <mergeCell ref="J9:J11"/>
    <mergeCell ref="K9:N10"/>
    <mergeCell ref="O9:O11"/>
  </mergeCells>
  <printOptions verticalCentered="1"/>
  <pageMargins left="1.08" right="0" top="0.25" bottom="0.25" header="0.25" footer="0.25"/>
  <pageSetup paperSize="9" scale="43" orientation="landscape" r:id="rId1"/>
  <headerFooter alignWithMargins="0">
    <oddHeader>&amp;F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66"/>
  <sheetViews>
    <sheetView showGridLines="0" view="pageBreakPreview" topLeftCell="O42" zoomScale="68" zoomScaleNormal="68" zoomScaleSheetLayoutView="85" workbookViewId="0">
      <selection activeCell="F21" sqref="F21"/>
    </sheetView>
  </sheetViews>
  <sheetFormatPr defaultColWidth="9.140625" defaultRowHeight="13.9"/>
  <cols>
    <col min="1" max="1" width="4.140625" style="1" customWidth="1"/>
    <col min="2" max="2" width="6.42578125" style="1" customWidth="1"/>
    <col min="3" max="3" width="36.140625" style="1" customWidth="1"/>
    <col min="4" max="4" width="20.28515625" style="1" customWidth="1"/>
    <col min="5" max="5" width="22.42578125" style="1" customWidth="1"/>
    <col min="6" max="6" width="25" style="1" customWidth="1"/>
    <col min="7" max="7" width="23.85546875" style="1" customWidth="1"/>
    <col min="8" max="8" width="18.5703125" style="1" customWidth="1"/>
    <col min="9" max="9" width="23.42578125" style="1" customWidth="1"/>
    <col min="10" max="27" width="18.5703125" style="1" customWidth="1"/>
    <col min="28" max="16384" width="9.140625" style="1"/>
  </cols>
  <sheetData>
    <row r="1" spans="1:23">
      <c r="B1" s="6"/>
    </row>
    <row r="2" spans="1:23">
      <c r="B2" s="2"/>
      <c r="C2" s="2"/>
      <c r="D2" s="2"/>
      <c r="E2" s="2"/>
      <c r="F2" s="2"/>
      <c r="G2" s="2"/>
      <c r="H2" s="2"/>
      <c r="I2" s="2"/>
      <c r="K2" s="2"/>
      <c r="L2" s="52" t="s">
        <v>0</v>
      </c>
      <c r="M2" s="2"/>
      <c r="O2" s="2"/>
      <c r="P2" s="2"/>
      <c r="Q2" s="2"/>
      <c r="R2" s="2"/>
      <c r="S2" s="2"/>
      <c r="T2" s="2"/>
      <c r="U2" s="15"/>
      <c r="V2" s="15"/>
      <c r="W2" s="15"/>
    </row>
    <row r="3" spans="1:23">
      <c r="B3" s="2"/>
      <c r="C3" s="2"/>
      <c r="D3" s="2"/>
      <c r="E3" s="2"/>
      <c r="F3" s="2"/>
      <c r="G3" s="2"/>
      <c r="H3" s="2"/>
      <c r="I3" s="2"/>
      <c r="K3" s="2"/>
      <c r="L3" s="55" t="s">
        <v>1</v>
      </c>
      <c r="M3" s="2"/>
      <c r="O3" s="2"/>
      <c r="P3" s="2"/>
      <c r="Q3" s="2"/>
      <c r="R3" s="2"/>
      <c r="S3" s="2"/>
      <c r="T3" s="2"/>
      <c r="U3" s="15"/>
      <c r="V3" s="15"/>
      <c r="W3" s="15"/>
    </row>
    <row r="4" spans="1:23">
      <c r="B4" s="15"/>
      <c r="C4" s="2"/>
      <c r="D4" s="2"/>
      <c r="E4" s="2"/>
      <c r="F4" s="2"/>
      <c r="G4" s="2"/>
      <c r="H4" s="2"/>
      <c r="I4" s="2"/>
      <c r="K4" s="2"/>
      <c r="L4" s="52" t="s">
        <v>402</v>
      </c>
      <c r="M4" s="2"/>
      <c r="O4" s="2"/>
      <c r="P4" s="2"/>
      <c r="Q4" s="2"/>
      <c r="R4" s="2"/>
      <c r="S4" s="2"/>
      <c r="T4" s="2"/>
      <c r="U4" s="15"/>
      <c r="V4" s="15"/>
      <c r="W4" s="15"/>
    </row>
    <row r="5" spans="1:23">
      <c r="C5" s="2"/>
      <c r="D5" s="2"/>
      <c r="E5" s="2"/>
      <c r="F5" s="2"/>
      <c r="G5" s="2"/>
      <c r="I5" s="8"/>
      <c r="K5" s="8"/>
      <c r="L5" s="8"/>
    </row>
    <row r="6" spans="1:23">
      <c r="B6" s="6"/>
      <c r="C6" s="6"/>
      <c r="D6" s="6"/>
      <c r="E6" s="6"/>
      <c r="F6" s="6"/>
      <c r="G6" s="6"/>
      <c r="I6" s="8"/>
      <c r="K6" s="8"/>
      <c r="L6" s="8"/>
    </row>
    <row r="7" spans="1:23">
      <c r="A7" s="19" t="s">
        <v>403</v>
      </c>
      <c r="B7" s="155" t="s">
        <v>404</v>
      </c>
      <c r="C7" s="155"/>
      <c r="D7" s="155"/>
      <c r="E7" s="155"/>
      <c r="F7" s="155"/>
      <c r="G7" s="155"/>
      <c r="H7" s="155"/>
      <c r="I7" s="155"/>
      <c r="J7" s="155"/>
      <c r="K7" s="155"/>
      <c r="L7" s="156"/>
      <c r="M7" s="178"/>
      <c r="N7" s="156"/>
      <c r="O7" s="178"/>
      <c r="P7" s="178"/>
      <c r="Q7" s="156"/>
      <c r="R7" s="156"/>
      <c r="T7" s="156"/>
      <c r="U7" s="156"/>
      <c r="V7" s="156"/>
      <c r="W7" s="156"/>
    </row>
    <row r="8" spans="1:23" ht="15.75" customHeight="1">
      <c r="A8" s="19"/>
      <c r="B8" s="208"/>
      <c r="C8" s="179"/>
      <c r="D8" s="179"/>
      <c r="E8" s="179"/>
      <c r="F8" s="179"/>
      <c r="G8" s="179"/>
      <c r="H8" s="179"/>
      <c r="I8" s="179"/>
      <c r="J8" s="179"/>
      <c r="K8" s="179"/>
      <c r="L8" s="156"/>
      <c r="M8" s="178"/>
      <c r="N8" s="156"/>
      <c r="O8" s="178"/>
      <c r="P8" s="178"/>
      <c r="Q8" s="156"/>
      <c r="R8" s="156"/>
      <c r="T8" s="156"/>
      <c r="U8" s="156"/>
      <c r="V8" s="156"/>
      <c r="W8" s="180"/>
    </row>
    <row r="9" spans="1:23" ht="15.75" customHeight="1">
      <c r="A9" s="19"/>
      <c r="B9" s="155"/>
      <c r="C9" s="179"/>
      <c r="D9" s="179"/>
      <c r="E9" s="179"/>
      <c r="F9" s="179"/>
      <c r="G9" s="179"/>
      <c r="H9" s="179"/>
      <c r="I9" s="179"/>
      <c r="J9" s="179"/>
      <c r="K9" s="179"/>
      <c r="L9" s="156"/>
      <c r="M9" s="178"/>
      <c r="N9" s="156"/>
      <c r="O9" s="178"/>
      <c r="P9" s="178"/>
      <c r="Q9" s="156"/>
      <c r="R9" s="156"/>
      <c r="S9" s="156"/>
      <c r="T9" s="156"/>
      <c r="U9" s="156"/>
      <c r="V9" s="156"/>
      <c r="W9" s="180" t="s">
        <v>52</v>
      </c>
    </row>
    <row r="10" spans="1:23" ht="15.75" customHeight="1">
      <c r="A10" s="19"/>
      <c r="B10" s="811" t="s">
        <v>2</v>
      </c>
      <c r="C10" s="811" t="s">
        <v>53</v>
      </c>
      <c r="D10" s="811" t="s">
        <v>56</v>
      </c>
      <c r="E10" s="811"/>
      <c r="F10" s="811"/>
      <c r="G10" s="811"/>
      <c r="H10" s="811" t="s">
        <v>57</v>
      </c>
      <c r="I10" s="811"/>
      <c r="J10" s="811"/>
      <c r="K10" s="811"/>
      <c r="L10" s="811" t="s">
        <v>58</v>
      </c>
      <c r="M10" s="811"/>
      <c r="N10" s="811"/>
      <c r="O10" s="811"/>
      <c r="P10" s="811" t="s">
        <v>59</v>
      </c>
      <c r="Q10" s="811"/>
      <c r="R10" s="811"/>
      <c r="S10" s="811"/>
      <c r="T10" s="811" t="s">
        <v>60</v>
      </c>
      <c r="U10" s="811"/>
      <c r="V10" s="811"/>
      <c r="W10" s="811"/>
    </row>
    <row r="11" spans="1:23">
      <c r="A11" s="19"/>
      <c r="B11" s="811"/>
      <c r="C11" s="811"/>
      <c r="D11" s="815" t="s">
        <v>61</v>
      </c>
      <c r="E11" s="816"/>
      <c r="F11" s="816"/>
      <c r="G11" s="816"/>
      <c r="H11" s="815" t="s">
        <v>61</v>
      </c>
      <c r="I11" s="818"/>
      <c r="J11" s="818"/>
      <c r="K11" s="818"/>
      <c r="L11" s="815" t="s">
        <v>61</v>
      </c>
      <c r="M11" s="818"/>
      <c r="N11" s="818"/>
      <c r="O11" s="818"/>
      <c r="P11" s="815" t="s">
        <v>61</v>
      </c>
      <c r="Q11" s="818"/>
      <c r="R11" s="818"/>
      <c r="S11" s="818"/>
      <c r="T11" s="815" t="s">
        <v>61</v>
      </c>
      <c r="U11" s="818"/>
      <c r="V11" s="818"/>
      <c r="W11" s="818"/>
    </row>
    <row r="12" spans="1:23" s="9" customFormat="1" ht="47.45" customHeight="1">
      <c r="A12" s="19"/>
      <c r="B12" s="811"/>
      <c r="C12" s="811"/>
      <c r="D12" s="168" t="s">
        <v>405</v>
      </c>
      <c r="E12" s="168" t="s">
        <v>406</v>
      </c>
      <c r="F12" s="168" t="s">
        <v>407</v>
      </c>
      <c r="G12" s="168" t="s">
        <v>408</v>
      </c>
      <c r="H12" s="168" t="s">
        <v>405</v>
      </c>
      <c r="I12" s="168" t="s">
        <v>406</v>
      </c>
      <c r="J12" s="168" t="s">
        <v>407</v>
      </c>
      <c r="K12" s="168" t="s">
        <v>408</v>
      </c>
      <c r="L12" s="168" t="s">
        <v>405</v>
      </c>
      <c r="M12" s="168" t="s">
        <v>406</v>
      </c>
      <c r="N12" s="168" t="s">
        <v>407</v>
      </c>
      <c r="O12" s="168" t="s">
        <v>408</v>
      </c>
      <c r="P12" s="168" t="s">
        <v>405</v>
      </c>
      <c r="Q12" s="168" t="s">
        <v>406</v>
      </c>
      <c r="R12" s="168" t="s">
        <v>407</v>
      </c>
      <c r="S12" s="168" t="s">
        <v>408</v>
      </c>
      <c r="T12" s="168" t="s">
        <v>405</v>
      </c>
      <c r="U12" s="168" t="s">
        <v>406</v>
      </c>
      <c r="V12" s="168" t="s">
        <v>407</v>
      </c>
      <c r="W12" s="168" t="s">
        <v>408</v>
      </c>
    </row>
    <row r="13" spans="1:23" s="8" customFormat="1">
      <c r="A13" s="31"/>
      <c r="B13" s="153"/>
      <c r="C13" s="153"/>
      <c r="D13" s="153" t="s">
        <v>102</v>
      </c>
      <c r="E13" s="153" t="s">
        <v>103</v>
      </c>
      <c r="F13" s="153" t="s">
        <v>409</v>
      </c>
      <c r="G13" s="153" t="s">
        <v>410</v>
      </c>
      <c r="H13" s="153" t="s">
        <v>411</v>
      </c>
      <c r="I13" s="153" t="s">
        <v>412</v>
      </c>
      <c r="J13" s="153" t="s">
        <v>108</v>
      </c>
      <c r="K13" s="153" t="s">
        <v>413</v>
      </c>
      <c r="L13" s="153" t="s">
        <v>414</v>
      </c>
      <c r="M13" s="153" t="s">
        <v>415</v>
      </c>
      <c r="N13" s="153" t="s">
        <v>415</v>
      </c>
      <c r="O13" s="153" t="s">
        <v>416</v>
      </c>
      <c r="P13" s="153" t="s">
        <v>417</v>
      </c>
      <c r="Q13" s="153" t="s">
        <v>418</v>
      </c>
      <c r="R13" s="153" t="s">
        <v>419</v>
      </c>
      <c r="S13" s="153" t="s">
        <v>420</v>
      </c>
      <c r="T13" s="153" t="s">
        <v>421</v>
      </c>
      <c r="U13" s="153" t="s">
        <v>422</v>
      </c>
      <c r="V13" s="153" t="s">
        <v>423</v>
      </c>
      <c r="W13" s="153" t="s">
        <v>424</v>
      </c>
    </row>
    <row r="14" spans="1:23" s="8" customFormat="1">
      <c r="A14" s="28"/>
      <c r="B14" s="209">
        <v>1</v>
      </c>
      <c r="C14" s="210" t="s">
        <v>425</v>
      </c>
      <c r="D14" s="308">
        <f>('F4 (E) Existing'!D14)</f>
        <v>9.7998200000000004</v>
      </c>
      <c r="E14" s="308">
        <f>('F4 (E) Existing'!E14)</f>
        <v>0</v>
      </c>
      <c r="F14" s="308">
        <f>('F4 (E) Existing'!F14)</f>
        <v>0</v>
      </c>
      <c r="G14" s="308">
        <f>D14+E14-F14</f>
        <v>9.7998200000000004</v>
      </c>
      <c r="H14" s="308">
        <f>G14</f>
        <v>9.7998200000000004</v>
      </c>
      <c r="I14" s="308">
        <f>('F4 (E) Existing'!I14)</f>
        <v>0</v>
      </c>
      <c r="J14" s="308">
        <f>('F4 (E) Existing'!J14)</f>
        <v>0</v>
      </c>
      <c r="K14" s="308">
        <f>H14+I14-J14</f>
        <v>9.7998200000000004</v>
      </c>
      <c r="L14" s="308">
        <f>K14</f>
        <v>9.7998200000000004</v>
      </c>
      <c r="M14" s="308">
        <f>('F4 (E) Existing'!M14)</f>
        <v>0</v>
      </c>
      <c r="N14" s="308">
        <f>('F4 (E) Existing'!N14)</f>
        <v>0</v>
      </c>
      <c r="O14" s="308">
        <f>L14+M14-N14</f>
        <v>9.7998200000000004</v>
      </c>
      <c r="P14" s="308">
        <f>O14</f>
        <v>9.7998200000000004</v>
      </c>
      <c r="Q14" s="308">
        <f>('F4 (E) Existing'!Q14)</f>
        <v>0</v>
      </c>
      <c r="R14" s="308">
        <f>('F4 (E) Existing'!R14)</f>
        <v>0</v>
      </c>
      <c r="S14" s="308">
        <f>P14+Q14-R14</f>
        <v>9.7998200000000004</v>
      </c>
      <c r="T14" s="308">
        <f>S14</f>
        <v>9.7998200000000004</v>
      </c>
      <c r="U14" s="308">
        <f>('F4 (E) Existing'!U14)</f>
        <v>0</v>
      </c>
      <c r="V14" s="308">
        <f>('F4 (E) Existing'!V14)</f>
        <v>0</v>
      </c>
      <c r="W14" s="308">
        <f>T14+U14-V14</f>
        <v>9.7998200000000004</v>
      </c>
    </row>
    <row r="15" spans="1:23" s="8" customFormat="1">
      <c r="A15" s="28"/>
      <c r="B15" s="209">
        <v>2</v>
      </c>
      <c r="C15" s="210" t="s">
        <v>426</v>
      </c>
      <c r="D15" s="308">
        <f>('F4 (E) Existing'!D15)</f>
        <v>13.468629999999999</v>
      </c>
      <c r="E15" s="308">
        <f>('F4 (E) Existing'!E15)</f>
        <v>0</v>
      </c>
      <c r="F15" s="308">
        <f>('F4 (E) Existing'!F15)</f>
        <v>0</v>
      </c>
      <c r="G15" s="308">
        <f t="shared" ref="G15:G21" si="0">D15+E15-F15</f>
        <v>13.468629999999999</v>
      </c>
      <c r="H15" s="308">
        <f t="shared" ref="H15:H20" si="1">G15</f>
        <v>13.468629999999999</v>
      </c>
      <c r="I15" s="308">
        <f>('F4 (E) Existing'!I15)</f>
        <v>0</v>
      </c>
      <c r="J15" s="308">
        <f>('F4 (E) Existing'!J15)</f>
        <v>0</v>
      </c>
      <c r="K15" s="308">
        <f t="shared" ref="K15:K21" si="2">H15+I15-J15</f>
        <v>13.468629999999999</v>
      </c>
      <c r="L15" s="308">
        <f t="shared" ref="L15:L20" si="3">K15</f>
        <v>13.468629999999999</v>
      </c>
      <c r="M15" s="308">
        <f>('F4 (E) Existing'!M15)</f>
        <v>0</v>
      </c>
      <c r="N15" s="308">
        <f>('F4 (E) Existing'!N15)</f>
        <v>0</v>
      </c>
      <c r="O15" s="308">
        <f t="shared" ref="O15:O21" si="4">L15+M15-N15</f>
        <v>13.468629999999999</v>
      </c>
      <c r="P15" s="308">
        <f t="shared" ref="P15:P20" si="5">O15</f>
        <v>13.468629999999999</v>
      </c>
      <c r="Q15" s="308">
        <f>('F4 (E) Existing'!Q15)</f>
        <v>0</v>
      </c>
      <c r="R15" s="308">
        <f>('F4 (E) Existing'!R15)</f>
        <v>0</v>
      </c>
      <c r="S15" s="308">
        <f t="shared" ref="S15:S21" si="6">P15+Q15-R15</f>
        <v>13.468629999999999</v>
      </c>
      <c r="T15" s="308">
        <f t="shared" ref="T15:T21" si="7">S15</f>
        <v>13.468629999999999</v>
      </c>
      <c r="U15" s="308">
        <f>('F4 (E) Existing'!U15)</f>
        <v>0</v>
      </c>
      <c r="V15" s="308">
        <f>('F4 (E) Existing'!V15)</f>
        <v>0</v>
      </c>
      <c r="W15" s="308">
        <f t="shared" ref="W15:W21" si="8">T15+U15-V15</f>
        <v>13.468629999999999</v>
      </c>
    </row>
    <row r="16" spans="1:23">
      <c r="A16" s="28"/>
      <c r="B16" s="209">
        <v>3</v>
      </c>
      <c r="C16" s="210" t="s">
        <v>427</v>
      </c>
      <c r="D16" s="308">
        <f>('F4 (E) Existing'!D16)</f>
        <v>115.27958</v>
      </c>
      <c r="E16" s="308">
        <f>('F4 (E) Existing'!E16)</f>
        <v>0</v>
      </c>
      <c r="F16" s="308">
        <f>('F4 (E) Existing'!F16)</f>
        <v>0</v>
      </c>
      <c r="G16" s="308">
        <f t="shared" si="0"/>
        <v>115.27958</v>
      </c>
      <c r="H16" s="308">
        <f t="shared" si="1"/>
        <v>115.27958</v>
      </c>
      <c r="I16" s="308">
        <f>('F4 (E) Existing'!I16)</f>
        <v>0</v>
      </c>
      <c r="J16" s="308">
        <f>('F4 (E) Existing'!J16)</f>
        <v>0</v>
      </c>
      <c r="K16" s="308">
        <f t="shared" si="2"/>
        <v>115.27958</v>
      </c>
      <c r="L16" s="308">
        <f t="shared" si="3"/>
        <v>115.27958</v>
      </c>
      <c r="M16" s="308">
        <f>('F4 (E) Existing'!M16)</f>
        <v>0</v>
      </c>
      <c r="N16" s="308">
        <f>('F4 (E) Existing'!N16)</f>
        <v>0</v>
      </c>
      <c r="O16" s="308">
        <f t="shared" si="4"/>
        <v>115.27958</v>
      </c>
      <c r="P16" s="308">
        <f t="shared" si="5"/>
        <v>115.27958</v>
      </c>
      <c r="Q16" s="308">
        <f>('F4 (E) Existing'!Q16)</f>
        <v>0</v>
      </c>
      <c r="R16" s="308">
        <f>('F4 (E) Existing'!R16)</f>
        <v>0</v>
      </c>
      <c r="S16" s="308">
        <f t="shared" si="6"/>
        <v>115.27958</v>
      </c>
      <c r="T16" s="308">
        <f t="shared" si="7"/>
        <v>115.27958</v>
      </c>
      <c r="U16" s="308">
        <f>('F4 (E) Existing'!U16)</f>
        <v>0</v>
      </c>
      <c r="V16" s="308">
        <f>('F4 (E) Existing'!V16)</f>
        <v>0</v>
      </c>
      <c r="W16" s="308">
        <f t="shared" si="8"/>
        <v>115.27958</v>
      </c>
    </row>
    <row r="17" spans="1:26">
      <c r="A17" s="19"/>
      <c r="B17" s="209">
        <v>4</v>
      </c>
      <c r="C17" s="181" t="s">
        <v>89</v>
      </c>
      <c r="D17" s="308">
        <f>('F4 (E) Existing'!D17)</f>
        <v>4.8686800000000003</v>
      </c>
      <c r="E17" s="308">
        <f>('F4 (E) Existing'!E17)</f>
        <v>0</v>
      </c>
      <c r="F17" s="308">
        <f>('F4 (E) Existing'!F17)</f>
        <v>0</v>
      </c>
      <c r="G17" s="308">
        <f t="shared" si="0"/>
        <v>4.8686800000000003</v>
      </c>
      <c r="H17" s="308">
        <f t="shared" si="1"/>
        <v>4.8686800000000003</v>
      </c>
      <c r="I17" s="308">
        <f>('F4 (E) Existing'!I17)</f>
        <v>0</v>
      </c>
      <c r="J17" s="308">
        <f>('F4 (E) Existing'!J17)</f>
        <v>0</v>
      </c>
      <c r="K17" s="308">
        <f t="shared" si="2"/>
        <v>4.8686800000000003</v>
      </c>
      <c r="L17" s="308">
        <f t="shared" si="3"/>
        <v>4.8686800000000003</v>
      </c>
      <c r="M17" s="308">
        <f>('F4 (E) Existing'!M17)</f>
        <v>0</v>
      </c>
      <c r="N17" s="308">
        <f>('F4 (E) Existing'!N17)</f>
        <v>0</v>
      </c>
      <c r="O17" s="308">
        <f t="shared" si="4"/>
        <v>4.8686800000000003</v>
      </c>
      <c r="P17" s="308">
        <f t="shared" si="5"/>
        <v>4.8686800000000003</v>
      </c>
      <c r="Q17" s="308">
        <f>('F4 (E) Existing'!Q17)</f>
        <v>0</v>
      </c>
      <c r="R17" s="308">
        <f>('F4 (E) Existing'!R17)</f>
        <v>0</v>
      </c>
      <c r="S17" s="308">
        <f t="shared" si="6"/>
        <v>4.8686800000000003</v>
      </c>
      <c r="T17" s="308">
        <f t="shared" si="7"/>
        <v>4.8686800000000003</v>
      </c>
      <c r="U17" s="308">
        <f>('F4 (E) Existing'!U17)</f>
        <v>0</v>
      </c>
      <c r="V17" s="308">
        <f>('F4 (E) Existing'!V17)</f>
        <v>0</v>
      </c>
      <c r="W17" s="308">
        <f t="shared" si="8"/>
        <v>4.8686800000000003</v>
      </c>
    </row>
    <row r="18" spans="1:26">
      <c r="A18" s="19"/>
      <c r="B18" s="209">
        <v>5</v>
      </c>
      <c r="C18" s="210" t="s">
        <v>387</v>
      </c>
      <c r="D18" s="308">
        <f>('F4 (E) Existing'!D18)</f>
        <v>0</v>
      </c>
      <c r="E18" s="308">
        <f>('F4 (N) New'!E14)</f>
        <v>199.76220000000001</v>
      </c>
      <c r="F18" s="308">
        <f>('F4 (N) New'!F14)</f>
        <v>0</v>
      </c>
      <c r="G18" s="308">
        <f t="shared" si="0"/>
        <v>199.76220000000001</v>
      </c>
      <c r="H18" s="308">
        <f t="shared" si="1"/>
        <v>199.76220000000001</v>
      </c>
      <c r="I18" s="308">
        <f>('F4 (N) New'!I14)/1</f>
        <v>0</v>
      </c>
      <c r="J18" s="308">
        <f>('F4 (N) New'!J14)/1</f>
        <v>0</v>
      </c>
      <c r="K18" s="308">
        <f t="shared" si="2"/>
        <v>199.76220000000001</v>
      </c>
      <c r="L18" s="308">
        <f t="shared" si="3"/>
        <v>199.76220000000001</v>
      </c>
      <c r="M18" s="308">
        <f>('F4 (N) New'!M14)/1</f>
        <v>0</v>
      </c>
      <c r="N18" s="308">
        <f>('F4 (N) New'!N14)/1</f>
        <v>0</v>
      </c>
      <c r="O18" s="308">
        <f t="shared" si="4"/>
        <v>199.76220000000001</v>
      </c>
      <c r="P18" s="308">
        <f t="shared" si="5"/>
        <v>199.76220000000001</v>
      </c>
      <c r="Q18" s="308">
        <f>('F4 (N) New'!Q14)/1</f>
        <v>0</v>
      </c>
      <c r="R18" s="308">
        <f>'F4 (N) New'!R14</f>
        <v>0</v>
      </c>
      <c r="S18" s="308">
        <f t="shared" si="6"/>
        <v>199.76220000000001</v>
      </c>
      <c r="T18" s="308">
        <f t="shared" si="7"/>
        <v>199.76220000000001</v>
      </c>
      <c r="U18" s="308">
        <f>('F4 (N) New'!U14)/1</f>
        <v>0</v>
      </c>
      <c r="V18" s="308">
        <f>('F4 (N) New'!V14)/1</f>
        <v>0</v>
      </c>
      <c r="W18" s="308">
        <f t="shared" si="8"/>
        <v>199.76220000000001</v>
      </c>
    </row>
    <row r="19" spans="1:26">
      <c r="A19" s="19"/>
      <c r="B19" s="209">
        <v>6</v>
      </c>
      <c r="C19" s="210" t="s">
        <v>388</v>
      </c>
      <c r="D19" s="308">
        <f>('F4 (E) Existing'!D19)</f>
        <v>0</v>
      </c>
      <c r="E19" s="308">
        <f>('F4 (N) New'!E15)</f>
        <v>0</v>
      </c>
      <c r="F19" s="308">
        <f>('F4 (N) New'!F15)</f>
        <v>0</v>
      </c>
      <c r="G19" s="308">
        <f t="shared" si="0"/>
        <v>0</v>
      </c>
      <c r="H19" s="308">
        <f t="shared" si="1"/>
        <v>0</v>
      </c>
      <c r="I19" s="308">
        <f>('F4 (N) New'!I15)/1</f>
        <v>30</v>
      </c>
      <c r="J19" s="308">
        <f>('F4 (N) New'!J15)/1</f>
        <v>0</v>
      </c>
      <c r="K19" s="308">
        <f t="shared" si="2"/>
        <v>30</v>
      </c>
      <c r="L19" s="308">
        <f t="shared" si="3"/>
        <v>30</v>
      </c>
      <c r="M19" s="308">
        <f>('F4 (N) New'!M15)/1</f>
        <v>0</v>
      </c>
      <c r="N19" s="308">
        <f>('F4 (N) New'!N15)/1</f>
        <v>0</v>
      </c>
      <c r="O19" s="308">
        <f t="shared" si="4"/>
        <v>30</v>
      </c>
      <c r="P19" s="308">
        <f t="shared" si="5"/>
        <v>30</v>
      </c>
      <c r="Q19" s="308">
        <f>('F4 (N) New'!Q15)/1</f>
        <v>0</v>
      </c>
      <c r="R19" s="308">
        <f>'F4 (N) New'!R15</f>
        <v>0</v>
      </c>
      <c r="S19" s="308">
        <f t="shared" si="6"/>
        <v>30</v>
      </c>
      <c r="T19" s="308">
        <f t="shared" si="7"/>
        <v>30</v>
      </c>
      <c r="U19" s="308">
        <f>('F4 (N) New'!U15)/1</f>
        <v>0</v>
      </c>
      <c r="V19" s="308">
        <f>('F4 (N) New'!V15)/1</f>
        <v>0</v>
      </c>
      <c r="W19" s="308">
        <f t="shared" si="8"/>
        <v>30</v>
      </c>
    </row>
    <row r="20" spans="1:26">
      <c r="A20" s="19"/>
      <c r="B20" s="160">
        <v>7</v>
      </c>
      <c r="C20" s="210" t="s">
        <v>428</v>
      </c>
      <c r="D20" s="308">
        <f>('F4 (E) Existing'!D20)</f>
        <v>0</v>
      </c>
      <c r="E20" s="308">
        <f>('F4 (N) New'!E16)</f>
        <v>0</v>
      </c>
      <c r="F20" s="308">
        <f>('F4 (N) New'!F16)</f>
        <v>0</v>
      </c>
      <c r="G20" s="308">
        <f t="shared" si="0"/>
        <v>0</v>
      </c>
      <c r="H20" s="308">
        <f t="shared" si="1"/>
        <v>0</v>
      </c>
      <c r="I20" s="308">
        <f>('F4 (N) New'!I16)/1</f>
        <v>0</v>
      </c>
      <c r="J20" s="308">
        <f>('F4 (N) New'!J16)/1</f>
        <v>0</v>
      </c>
      <c r="K20" s="308">
        <f t="shared" si="2"/>
        <v>0</v>
      </c>
      <c r="L20" s="308">
        <f t="shared" si="3"/>
        <v>0</v>
      </c>
      <c r="M20" s="308">
        <f>('F4 (N) New'!M16)/1</f>
        <v>40</v>
      </c>
      <c r="N20" s="308">
        <f>('F4 (N) New'!N16)/1</f>
        <v>0</v>
      </c>
      <c r="O20" s="308">
        <f t="shared" si="4"/>
        <v>40</v>
      </c>
      <c r="P20" s="308">
        <f t="shared" si="5"/>
        <v>40</v>
      </c>
      <c r="Q20" s="308">
        <f>('F4 (N) New'!Q16)/1</f>
        <v>0</v>
      </c>
      <c r="R20" s="308">
        <f>'F4 (N) New'!R16</f>
        <v>0</v>
      </c>
      <c r="S20" s="308">
        <f t="shared" si="6"/>
        <v>40</v>
      </c>
      <c r="T20" s="308">
        <f t="shared" si="7"/>
        <v>40</v>
      </c>
      <c r="U20" s="308">
        <f>('F4 (N) New'!U16)/1</f>
        <v>0</v>
      </c>
      <c r="V20" s="308">
        <f>('F4 (N) New'!V16)/1</f>
        <v>0</v>
      </c>
      <c r="W20" s="308">
        <f t="shared" si="8"/>
        <v>40</v>
      </c>
    </row>
    <row r="21" spans="1:26">
      <c r="A21" s="19"/>
      <c r="B21" s="160">
        <v>8</v>
      </c>
      <c r="C21" s="210" t="s">
        <v>429</v>
      </c>
      <c r="D21" s="308">
        <f>'F4 (N) New'!D17</f>
        <v>0</v>
      </c>
      <c r="E21" s="308">
        <f>('F4 (N) New'!E17)</f>
        <v>0</v>
      </c>
      <c r="F21" s="308">
        <f>('F4 (N) New'!F17)</f>
        <v>0</v>
      </c>
      <c r="G21" s="308">
        <f t="shared" si="0"/>
        <v>0</v>
      </c>
      <c r="H21" s="308">
        <f>'F4 (N) New'!H17</f>
        <v>0</v>
      </c>
      <c r="I21" s="308">
        <f>('F4 (N) New'!I17)/1</f>
        <v>0</v>
      </c>
      <c r="J21" s="308">
        <f>('F4 (N) New'!J17)/1</f>
        <v>0</v>
      </c>
      <c r="K21" s="308">
        <f t="shared" si="2"/>
        <v>0</v>
      </c>
      <c r="L21" s="308">
        <f>'F4 (N) New'!M17</f>
        <v>0</v>
      </c>
      <c r="M21" s="308">
        <f>('F4 (N) New'!M17)/1</f>
        <v>0</v>
      </c>
      <c r="N21" s="308">
        <f>('F4 (N) New'!N17)/1</f>
        <v>0</v>
      </c>
      <c r="O21" s="308">
        <f t="shared" si="4"/>
        <v>0</v>
      </c>
      <c r="P21" s="308">
        <f>'F4 (N) New'!P17</f>
        <v>0</v>
      </c>
      <c r="Q21" s="308">
        <f>('F4 (N) New'!Q17)/1</f>
        <v>90</v>
      </c>
      <c r="R21" s="308">
        <f>'F4 (N) New'!R17</f>
        <v>0</v>
      </c>
      <c r="S21" s="308">
        <f t="shared" si="6"/>
        <v>90</v>
      </c>
      <c r="T21" s="308">
        <f t="shared" si="7"/>
        <v>90</v>
      </c>
      <c r="U21" s="308">
        <f>('F4 (N) New'!U17)/1</f>
        <v>0</v>
      </c>
      <c r="V21" s="308">
        <f>('F4 (N) New'!V17)/1</f>
        <v>0</v>
      </c>
      <c r="W21" s="308">
        <f t="shared" si="8"/>
        <v>90</v>
      </c>
    </row>
    <row r="22" spans="1:26" ht="25.9">
      <c r="A22" s="19"/>
      <c r="B22" s="212"/>
      <c r="C22" s="182" t="s">
        <v>219</v>
      </c>
      <c r="D22" s="503">
        <f>SUM(D14:D21)</f>
        <v>143.41670999999999</v>
      </c>
      <c r="E22" s="503">
        <f t="shared" ref="E22:W22" si="9">SUM(E14:E21)</f>
        <v>199.76220000000001</v>
      </c>
      <c r="F22" s="503">
        <f t="shared" si="9"/>
        <v>0</v>
      </c>
      <c r="G22" s="503">
        <f t="shared" si="9"/>
        <v>343.17890999999997</v>
      </c>
      <c r="H22" s="503">
        <f t="shared" si="9"/>
        <v>343.17890999999997</v>
      </c>
      <c r="I22" s="503">
        <f>SUM(I14:I21)</f>
        <v>30</v>
      </c>
      <c r="J22" s="503">
        <f t="shared" si="9"/>
        <v>0</v>
      </c>
      <c r="K22" s="503">
        <f t="shared" si="9"/>
        <v>373.17890999999997</v>
      </c>
      <c r="L22" s="503">
        <f t="shared" si="9"/>
        <v>373.17890999999997</v>
      </c>
      <c r="M22" s="503">
        <f t="shared" si="9"/>
        <v>40</v>
      </c>
      <c r="N22" s="503">
        <f t="shared" si="9"/>
        <v>0</v>
      </c>
      <c r="O22" s="503">
        <f t="shared" si="9"/>
        <v>413.17890999999997</v>
      </c>
      <c r="P22" s="503">
        <f t="shared" si="9"/>
        <v>413.17890999999997</v>
      </c>
      <c r="Q22" s="503">
        <f t="shared" si="9"/>
        <v>90</v>
      </c>
      <c r="R22" s="503">
        <f t="shared" si="9"/>
        <v>0</v>
      </c>
      <c r="S22" s="503">
        <f t="shared" si="9"/>
        <v>503.17890999999997</v>
      </c>
      <c r="T22" s="503">
        <f t="shared" si="9"/>
        <v>503.17890999999997</v>
      </c>
      <c r="U22" s="503">
        <f t="shared" si="9"/>
        <v>0</v>
      </c>
      <c r="V22" s="503">
        <f t="shared" si="9"/>
        <v>0</v>
      </c>
      <c r="W22" s="503">
        <f t="shared" si="9"/>
        <v>503.17890999999997</v>
      </c>
      <c r="X22" s="12"/>
      <c r="Y22" s="12"/>
      <c r="Z22" s="12"/>
    </row>
    <row r="23" spans="1:26" ht="16.899999999999999">
      <c r="A23" s="19"/>
      <c r="B23" s="183"/>
      <c r="C23" s="183"/>
      <c r="D23" s="179"/>
      <c r="E23" s="179"/>
      <c r="F23" s="179"/>
      <c r="G23" s="179"/>
      <c r="H23" s="183"/>
      <c r="I23" s="183"/>
      <c r="J23" s="183"/>
      <c r="K23" s="183"/>
      <c r="L23" s="183"/>
      <c r="M23" s="183"/>
      <c r="N23" s="183"/>
      <c r="O23" s="183"/>
      <c r="P23" s="183"/>
      <c r="Q23" s="183"/>
      <c r="R23" s="156"/>
      <c r="S23" s="156"/>
      <c r="T23" s="156"/>
      <c r="U23" s="156"/>
      <c r="V23" s="156"/>
      <c r="W23" s="156"/>
      <c r="X23" s="12"/>
      <c r="Y23" s="12"/>
      <c r="Z23" s="12"/>
    </row>
    <row r="24" spans="1:26" ht="16.899999999999999">
      <c r="A24" s="19"/>
      <c r="B24" s="821" t="s">
        <v>430</v>
      </c>
      <c r="C24" s="821"/>
      <c r="D24" s="821"/>
      <c r="E24" s="821"/>
      <c r="F24" s="821"/>
      <c r="G24" s="821"/>
      <c r="H24" s="821"/>
      <c r="I24" s="821"/>
      <c r="J24" s="821"/>
      <c r="K24" s="821"/>
      <c r="L24" s="183"/>
      <c r="M24" s="183"/>
      <c r="N24" s="183"/>
      <c r="O24" s="183"/>
      <c r="P24" s="183"/>
      <c r="Q24" s="183"/>
      <c r="R24" s="156"/>
      <c r="S24" s="156"/>
      <c r="T24" s="156"/>
      <c r="U24" s="156"/>
      <c r="V24" s="156"/>
      <c r="W24" s="156"/>
      <c r="X24" s="12"/>
      <c r="Y24" s="12"/>
      <c r="Z24" s="12"/>
    </row>
    <row r="25" spans="1:26" ht="15.75" customHeight="1">
      <c r="A25" s="19"/>
      <c r="B25" s="156"/>
      <c r="C25" s="156"/>
      <c r="D25" s="156"/>
      <c r="E25" s="156"/>
      <c r="F25" s="156"/>
      <c r="G25" s="156"/>
      <c r="H25" s="156"/>
      <c r="I25" s="156"/>
      <c r="J25" s="156"/>
      <c r="K25" s="156"/>
      <c r="L25" s="156"/>
      <c r="M25" s="156"/>
      <c r="N25" s="156"/>
      <c r="O25" s="156"/>
      <c r="P25" s="156"/>
      <c r="Q25" s="156"/>
      <c r="R25" s="156"/>
      <c r="S25" s="156"/>
      <c r="T25" s="156"/>
      <c r="U25" s="156"/>
      <c r="V25" s="156"/>
      <c r="W25" s="156"/>
    </row>
    <row r="26" spans="1:26" ht="15.75" customHeight="1">
      <c r="A26" s="19"/>
      <c r="B26" s="155" t="s">
        <v>431</v>
      </c>
      <c r="C26" s="156"/>
      <c r="D26" s="156"/>
      <c r="E26" s="156"/>
      <c r="F26" s="156"/>
      <c r="G26" s="156"/>
      <c r="H26" s="156"/>
      <c r="I26" s="156"/>
      <c r="J26" s="156"/>
      <c r="K26" s="156"/>
      <c r="L26" s="156"/>
      <c r="M26" s="156"/>
      <c r="N26" s="156"/>
      <c r="O26" s="156"/>
      <c r="P26" s="156"/>
      <c r="Q26" s="156"/>
      <c r="R26" s="156"/>
      <c r="S26" s="156"/>
      <c r="T26" s="156"/>
      <c r="U26" s="156"/>
      <c r="V26" s="156"/>
      <c r="W26" s="156"/>
    </row>
    <row r="27" spans="1:26">
      <c r="A27" s="19"/>
      <c r="B27" s="155"/>
      <c r="C27" s="156"/>
      <c r="D27" s="156"/>
      <c r="E27" s="156"/>
      <c r="F27" s="156"/>
      <c r="G27" s="156"/>
      <c r="H27" s="156"/>
      <c r="I27" s="156"/>
      <c r="J27" s="156"/>
      <c r="K27" s="156"/>
      <c r="L27" s="156"/>
      <c r="M27" s="156"/>
      <c r="N27" s="156"/>
      <c r="O27" s="156"/>
      <c r="P27" s="156"/>
      <c r="Q27" s="156"/>
      <c r="R27" s="156"/>
      <c r="S27" s="156"/>
      <c r="T27" s="156"/>
      <c r="U27" s="156"/>
      <c r="V27" s="156"/>
      <c r="W27" s="156"/>
    </row>
    <row r="28" spans="1:26" ht="16.899999999999999">
      <c r="A28" s="19"/>
      <c r="B28" s="340"/>
      <c r="C28" s="341"/>
      <c r="D28" s="341"/>
      <c r="E28" s="341"/>
      <c r="F28" s="341"/>
      <c r="G28" s="341"/>
      <c r="H28" s="341"/>
      <c r="I28" s="341"/>
      <c r="J28" s="341"/>
      <c r="K28" s="341"/>
      <c r="L28" s="340"/>
      <c r="M28" s="340"/>
      <c r="N28" s="340"/>
      <c r="O28" s="340"/>
      <c r="P28" s="340"/>
      <c r="Q28" s="340"/>
      <c r="R28" s="340"/>
      <c r="S28" s="342" t="s">
        <v>52</v>
      </c>
      <c r="T28" s="340"/>
      <c r="U28" s="340"/>
      <c r="V28" s="340"/>
      <c r="W28" s="340"/>
    </row>
    <row r="29" spans="1:26" ht="14.1" customHeight="1">
      <c r="A29" s="19"/>
      <c r="B29" s="817" t="s">
        <v>2</v>
      </c>
      <c r="C29" s="817" t="s">
        <v>53</v>
      </c>
      <c r="D29" s="817" t="s">
        <v>56</v>
      </c>
      <c r="E29" s="817"/>
      <c r="F29" s="817"/>
      <c r="G29" s="817"/>
      <c r="H29" s="817" t="s">
        <v>57</v>
      </c>
      <c r="I29" s="817"/>
      <c r="J29" s="817"/>
      <c r="K29" s="817"/>
      <c r="L29" s="817" t="s">
        <v>58</v>
      </c>
      <c r="M29" s="817"/>
      <c r="N29" s="817"/>
      <c r="O29" s="817"/>
      <c r="P29" s="817" t="s">
        <v>59</v>
      </c>
      <c r="Q29" s="817"/>
      <c r="R29" s="817"/>
      <c r="S29" s="817"/>
      <c r="T29" s="817" t="s">
        <v>60</v>
      </c>
      <c r="U29" s="817"/>
      <c r="V29" s="817"/>
      <c r="W29" s="817"/>
    </row>
    <row r="30" spans="1:26">
      <c r="A30" s="19"/>
      <c r="B30" s="817"/>
      <c r="C30" s="817"/>
      <c r="D30" s="819" t="s">
        <v>61</v>
      </c>
      <c r="E30" s="820"/>
      <c r="F30" s="820"/>
      <c r="G30" s="820"/>
      <c r="H30" s="819" t="s">
        <v>61</v>
      </c>
      <c r="I30" s="820"/>
      <c r="J30" s="820"/>
      <c r="K30" s="820"/>
      <c r="L30" s="819" t="s">
        <v>61</v>
      </c>
      <c r="M30" s="820"/>
      <c r="N30" s="820"/>
      <c r="O30" s="820"/>
      <c r="P30" s="819" t="s">
        <v>61</v>
      </c>
      <c r="Q30" s="820"/>
      <c r="R30" s="820"/>
      <c r="S30" s="820"/>
      <c r="T30" s="819" t="s">
        <v>61</v>
      </c>
      <c r="U30" s="820"/>
      <c r="V30" s="820"/>
      <c r="W30" s="820"/>
    </row>
    <row r="31" spans="1:26" ht="65.45" customHeight="1">
      <c r="A31" s="19"/>
      <c r="B31" s="817"/>
      <c r="C31" s="817"/>
      <c r="D31" s="343" t="s">
        <v>432</v>
      </c>
      <c r="E31" s="343" t="s">
        <v>406</v>
      </c>
      <c r="F31" s="344" t="s">
        <v>433</v>
      </c>
      <c r="G31" s="343" t="s">
        <v>434</v>
      </c>
      <c r="H31" s="343" t="s">
        <v>432</v>
      </c>
      <c r="I31" s="343" t="s">
        <v>406</v>
      </c>
      <c r="J31" s="344" t="s">
        <v>433</v>
      </c>
      <c r="K31" s="343" t="s">
        <v>434</v>
      </c>
      <c r="L31" s="343" t="s">
        <v>432</v>
      </c>
      <c r="M31" s="343" t="s">
        <v>406</v>
      </c>
      <c r="N31" s="344" t="s">
        <v>433</v>
      </c>
      <c r="O31" s="343" t="s">
        <v>434</v>
      </c>
      <c r="P31" s="343" t="s">
        <v>432</v>
      </c>
      <c r="Q31" s="343" t="s">
        <v>406</v>
      </c>
      <c r="R31" s="344" t="s">
        <v>433</v>
      </c>
      <c r="S31" s="343" t="s">
        <v>434</v>
      </c>
      <c r="T31" s="343" t="s">
        <v>432</v>
      </c>
      <c r="U31" s="343" t="s">
        <v>406</v>
      </c>
      <c r="V31" s="344" t="s">
        <v>433</v>
      </c>
      <c r="W31" s="343" t="s">
        <v>434</v>
      </c>
    </row>
    <row r="32" spans="1:26">
      <c r="A32" s="19"/>
      <c r="B32" s="345"/>
      <c r="C32" s="345"/>
      <c r="D32" s="345" t="s">
        <v>102</v>
      </c>
      <c r="E32" s="345" t="s">
        <v>103</v>
      </c>
      <c r="F32" s="345" t="s">
        <v>409</v>
      </c>
      <c r="G32" s="345" t="s">
        <v>410</v>
      </c>
      <c r="H32" s="345" t="s">
        <v>411</v>
      </c>
      <c r="I32" s="345" t="s">
        <v>412</v>
      </c>
      <c r="J32" s="345" t="s">
        <v>108</v>
      </c>
      <c r="K32" s="345" t="s">
        <v>413</v>
      </c>
      <c r="L32" s="345" t="s">
        <v>414</v>
      </c>
      <c r="M32" s="345" t="s">
        <v>415</v>
      </c>
      <c r="N32" s="345" t="s">
        <v>415</v>
      </c>
      <c r="O32" s="345" t="s">
        <v>416</v>
      </c>
      <c r="P32" s="345" t="s">
        <v>417</v>
      </c>
      <c r="Q32" s="345" t="s">
        <v>418</v>
      </c>
      <c r="R32" s="345" t="s">
        <v>419</v>
      </c>
      <c r="S32" s="345" t="s">
        <v>420</v>
      </c>
      <c r="T32" s="345" t="s">
        <v>421</v>
      </c>
      <c r="U32" s="345" t="s">
        <v>422</v>
      </c>
      <c r="V32" s="345" t="s">
        <v>423</v>
      </c>
      <c r="W32" s="345" t="s">
        <v>424</v>
      </c>
    </row>
    <row r="33" spans="1:26">
      <c r="A33" s="19"/>
      <c r="B33" s="377">
        <v>1</v>
      </c>
      <c r="C33" s="305" t="s">
        <v>425</v>
      </c>
      <c r="D33" s="308">
        <f>('F4 (E) Existing'!D32)</f>
        <v>2.7929487000000002</v>
      </c>
      <c r="E33" s="308">
        <f>('F4 (E) Existing'!E32)</f>
        <v>0.93098289999999995</v>
      </c>
      <c r="F33" s="308">
        <f>('F4 (E) Existing'!F32)</f>
        <v>0</v>
      </c>
      <c r="G33" s="308">
        <f>D33+E33-F33</f>
        <v>3.7239316000000002</v>
      </c>
      <c r="H33" s="308">
        <f>G33</f>
        <v>3.7239316000000002</v>
      </c>
      <c r="I33" s="308">
        <f>('F4 (E) Existing'!I32)</f>
        <v>0.93098289999999995</v>
      </c>
      <c r="J33" s="308">
        <f>('F4 (E) Existing'!J32)</f>
        <v>0</v>
      </c>
      <c r="K33" s="308">
        <f>H33+I33-J33</f>
        <v>4.6549145000000003</v>
      </c>
      <c r="L33" s="308">
        <f>K33</f>
        <v>4.6549145000000003</v>
      </c>
      <c r="M33" s="308">
        <f>('F4 (E) Existing'!M32)</f>
        <v>0.93098289999999995</v>
      </c>
      <c r="N33" s="308">
        <f>('F4 (E) Existing'!N32)</f>
        <v>0</v>
      </c>
      <c r="O33" s="308">
        <f>L33+M33-N33</f>
        <v>5.5858974000000003</v>
      </c>
      <c r="P33" s="308">
        <f>O33</f>
        <v>5.5858974000000003</v>
      </c>
      <c r="Q33" s="308">
        <f>('F4 (E) Existing'!Q32)</f>
        <v>0.93098289999999995</v>
      </c>
      <c r="R33" s="308">
        <f>('F4 (E) Existing'!R32)</f>
        <v>0</v>
      </c>
      <c r="S33" s="308">
        <f>P33+Q33-R33</f>
        <v>6.5168803000000004</v>
      </c>
      <c r="T33" s="308">
        <f>S33</f>
        <v>6.5168803000000004</v>
      </c>
      <c r="U33" s="308">
        <f>('F4 (E) Existing'!U32)</f>
        <v>0.93098289999999995</v>
      </c>
      <c r="V33" s="308">
        <f>('F4 (E) Existing'!V32)</f>
        <v>0</v>
      </c>
      <c r="W33" s="308">
        <f>T33+U33-V33</f>
        <v>7.4478632000000005</v>
      </c>
    </row>
    <row r="34" spans="1:26" ht="32.25" customHeight="1">
      <c r="A34" s="19"/>
      <c r="B34" s="377">
        <v>2</v>
      </c>
      <c r="C34" s="305" t="s">
        <v>426</v>
      </c>
      <c r="D34" s="308">
        <f>('F4 (E) Existing'!D33)</f>
        <v>4.27575555555556</v>
      </c>
      <c r="E34" s="308">
        <f>('F4 (E) Existing'!E33)</f>
        <v>2.13787777777778</v>
      </c>
      <c r="F34" s="308">
        <f>('F4 (E) Existing'!F33)</f>
        <v>0</v>
      </c>
      <c r="G34" s="308">
        <f t="shared" ref="G34:G40" si="10">D34+E34-F34</f>
        <v>6.4136333333333404</v>
      </c>
      <c r="H34" s="308">
        <f t="shared" ref="H34:H40" si="11">G34</f>
        <v>6.4136333333333404</v>
      </c>
      <c r="I34" s="308">
        <f>('F4 (E) Existing'!I33)</f>
        <v>2.13787777777778</v>
      </c>
      <c r="J34" s="308">
        <f>('F4 (E) Existing'!J33)</f>
        <v>0</v>
      </c>
      <c r="K34" s="308">
        <f t="shared" ref="K34:K40" si="12">H34+I34-J34</f>
        <v>8.5515111111111199</v>
      </c>
      <c r="L34" s="308">
        <f t="shared" ref="L34:L40" si="13">K34</f>
        <v>8.5515111111111199</v>
      </c>
      <c r="M34" s="308">
        <f>('F4 (E) Existing'!M33)</f>
        <v>2.13787777777778</v>
      </c>
      <c r="N34" s="308">
        <f>('F4 (E) Existing'!N33)</f>
        <v>0</v>
      </c>
      <c r="O34" s="308">
        <f t="shared" ref="O34:O40" si="14">L34+M34-N34</f>
        <v>10.689388888888899</v>
      </c>
      <c r="P34" s="308">
        <f t="shared" ref="P34:P40" si="15">O34</f>
        <v>10.689388888888899</v>
      </c>
      <c r="Q34" s="308">
        <f>('F4 (E) Existing'!Q33)</f>
        <v>2.13787777777778</v>
      </c>
      <c r="R34" s="308">
        <f>('F4 (E) Existing'!R33)</f>
        <v>0</v>
      </c>
      <c r="S34" s="308">
        <f t="shared" ref="S34:S40" si="16">P34+Q34-R34</f>
        <v>12.827266666666679</v>
      </c>
      <c r="T34" s="308">
        <f t="shared" ref="T34:T40" si="17">S34</f>
        <v>12.827266666666679</v>
      </c>
      <c r="U34" s="308">
        <f>('F4 (E) Existing'!U33)</f>
        <v>0.64136333333333506</v>
      </c>
      <c r="V34" s="308">
        <f>('F4 (E) Existing'!V33)</f>
        <v>0</v>
      </c>
      <c r="W34" s="308">
        <f t="shared" ref="W34:W40" si="18">T34+U34-V34</f>
        <v>13.468630000000013</v>
      </c>
    </row>
    <row r="35" spans="1:26" ht="15" customHeight="1">
      <c r="A35" s="19"/>
      <c r="B35" s="377">
        <v>3</v>
      </c>
      <c r="C35" s="210" t="s">
        <v>427</v>
      </c>
      <c r="D35" s="308">
        <f>('F4 (E) Existing'!D34)</f>
        <v>18.298346031746</v>
      </c>
      <c r="E35" s="308">
        <f>('F4 (E) Existing'!E34)</f>
        <v>18.298346031746</v>
      </c>
      <c r="F35" s="308">
        <f>('F4 (E) Existing'!F34)</f>
        <v>0</v>
      </c>
      <c r="G35" s="308">
        <f t="shared" si="10"/>
        <v>36.596692063492</v>
      </c>
      <c r="H35" s="308">
        <f t="shared" si="11"/>
        <v>36.596692063492</v>
      </c>
      <c r="I35" s="308">
        <f>('F4 (E) Existing'!I34)</f>
        <v>18.298346031746</v>
      </c>
      <c r="J35" s="308">
        <f>('F4 (E) Existing'!J34)</f>
        <v>0</v>
      </c>
      <c r="K35" s="308">
        <f t="shared" si="12"/>
        <v>54.895038095238</v>
      </c>
      <c r="L35" s="308">
        <f t="shared" si="13"/>
        <v>54.895038095238</v>
      </c>
      <c r="M35" s="308">
        <f>('F4 (E) Existing'!M34)</f>
        <v>18.298346031746</v>
      </c>
      <c r="N35" s="308">
        <f>('F4 (E) Existing'!N34)</f>
        <v>0</v>
      </c>
      <c r="O35" s="308">
        <f t="shared" si="14"/>
        <v>73.193384126984</v>
      </c>
      <c r="P35" s="308">
        <f t="shared" si="15"/>
        <v>73.193384126984</v>
      </c>
      <c r="Q35" s="308">
        <f>('F4 (E) Existing'!Q34)</f>
        <v>18.298346031746</v>
      </c>
      <c r="R35" s="308">
        <f>('F4 (E) Existing'!R34)</f>
        <v>0</v>
      </c>
      <c r="S35" s="308">
        <f t="shared" si="16"/>
        <v>91.491730158730007</v>
      </c>
      <c r="T35" s="308">
        <f t="shared" si="17"/>
        <v>91.491730158730007</v>
      </c>
      <c r="U35" s="308">
        <f>('F4 (E) Existing'!U34)</f>
        <v>18.298346031746</v>
      </c>
      <c r="V35" s="308">
        <f>('F4 (E) Existing'!V34)</f>
        <v>0</v>
      </c>
      <c r="W35" s="308">
        <f t="shared" si="18"/>
        <v>109.79007619047601</v>
      </c>
    </row>
    <row r="36" spans="1:26">
      <c r="A36" s="19"/>
      <c r="B36" s="377">
        <v>4</v>
      </c>
      <c r="C36" s="1" t="s">
        <v>89</v>
      </c>
      <c r="D36" s="308">
        <f>('F4 (E) Existing'!D35)</f>
        <v>0.77280634920634894</v>
      </c>
      <c r="E36" s="308">
        <f>('F4 (E) Existing'!E35)</f>
        <v>0.77280634920634894</v>
      </c>
      <c r="F36" s="308">
        <f>('F4 (E) Existing'!F35)</f>
        <v>0</v>
      </c>
      <c r="G36" s="308">
        <f t="shared" si="10"/>
        <v>1.5456126984126979</v>
      </c>
      <c r="H36" s="308">
        <f t="shared" si="11"/>
        <v>1.5456126984126979</v>
      </c>
      <c r="I36" s="308">
        <f>('F4 (E) Existing'!I35)</f>
        <v>0.77280634920634894</v>
      </c>
      <c r="J36" s="308">
        <f>('F4 (E) Existing'!J35)</f>
        <v>0</v>
      </c>
      <c r="K36" s="308">
        <f t="shared" si="12"/>
        <v>2.3184190476190469</v>
      </c>
      <c r="L36" s="308">
        <f t="shared" si="13"/>
        <v>2.3184190476190469</v>
      </c>
      <c r="M36" s="308">
        <f>('F4 (E) Existing'!M35)</f>
        <v>0.77280634920634894</v>
      </c>
      <c r="N36" s="308">
        <f>('F4 (E) Existing'!N35)</f>
        <v>0</v>
      </c>
      <c r="O36" s="308">
        <f t="shared" si="14"/>
        <v>3.0912253968253958</v>
      </c>
      <c r="P36" s="308">
        <f t="shared" si="15"/>
        <v>3.0912253968253958</v>
      </c>
      <c r="Q36" s="308">
        <f>('F4 (E) Existing'!Q35)</f>
        <v>0.77280634920634894</v>
      </c>
      <c r="R36" s="308">
        <f>('F4 (E) Existing'!R35)</f>
        <v>0</v>
      </c>
      <c r="S36" s="308">
        <f t="shared" si="16"/>
        <v>3.8640317460317446</v>
      </c>
      <c r="T36" s="308">
        <f t="shared" si="17"/>
        <v>3.8640317460317446</v>
      </c>
      <c r="U36" s="308">
        <f>('F4 (E) Existing'!U35)</f>
        <v>0.77280634920634894</v>
      </c>
      <c r="V36" s="308">
        <f>('F4 (E) Existing'!V35)</f>
        <v>0</v>
      </c>
      <c r="W36" s="308">
        <f t="shared" si="18"/>
        <v>4.6368380952380939</v>
      </c>
    </row>
    <row r="37" spans="1:26">
      <c r="A37" s="19"/>
      <c r="B37" s="377">
        <v>5</v>
      </c>
      <c r="C37" s="210" t="s">
        <v>387</v>
      </c>
      <c r="D37" s="308">
        <f>('F4 (N) New'!D33)</f>
        <v>0</v>
      </c>
      <c r="E37" s="308">
        <f>('F4 (N) New'!E34)</f>
        <v>31.708285714285701</v>
      </c>
      <c r="F37" s="308">
        <f>('F4 (N) New'!F34)/1</f>
        <v>0</v>
      </c>
      <c r="G37" s="308">
        <f t="shared" si="10"/>
        <v>31.708285714285701</v>
      </c>
      <c r="H37" s="308">
        <f t="shared" si="11"/>
        <v>31.708285714285701</v>
      </c>
      <c r="I37" s="308">
        <f>('F4 (N) New'!I34)/1</f>
        <v>31.708285714285701</v>
      </c>
      <c r="J37" s="308">
        <f>('F4 (N) New'!J34)/1</f>
        <v>0</v>
      </c>
      <c r="K37" s="308">
        <f t="shared" si="12"/>
        <v>63.416571428571402</v>
      </c>
      <c r="L37" s="308">
        <f t="shared" si="13"/>
        <v>63.416571428571402</v>
      </c>
      <c r="M37" s="308">
        <f>('F4 (N) New'!M34)/1</f>
        <v>31.708285714285701</v>
      </c>
      <c r="N37" s="308">
        <f>('F4 (N) New'!N34)/1</f>
        <v>0</v>
      </c>
      <c r="O37" s="308">
        <f t="shared" si="14"/>
        <v>95.12485714285711</v>
      </c>
      <c r="P37" s="308">
        <f t="shared" si="15"/>
        <v>95.12485714285711</v>
      </c>
      <c r="Q37" s="308">
        <f>('F4 (N) New'!Q34)/1</f>
        <v>31.708285714285701</v>
      </c>
      <c r="R37" s="308">
        <f>('F4 (N) New'!R34)/1</f>
        <v>0</v>
      </c>
      <c r="S37" s="308">
        <f t="shared" si="16"/>
        <v>126.8331428571428</v>
      </c>
      <c r="T37" s="308">
        <f t="shared" si="17"/>
        <v>126.8331428571428</v>
      </c>
      <c r="U37" s="308">
        <f>('F4 (N) New'!U34)/1</f>
        <v>31.708285714285701</v>
      </c>
      <c r="V37" s="308">
        <f>('F4 (E) Existing'!V36)</f>
        <v>0</v>
      </c>
      <c r="W37" s="308">
        <f t="shared" si="18"/>
        <v>158.5414285714285</v>
      </c>
    </row>
    <row r="38" spans="1:26">
      <c r="A38" s="19"/>
      <c r="B38" s="377">
        <v>6</v>
      </c>
      <c r="C38" s="210" t="s">
        <v>388</v>
      </c>
      <c r="D38" s="308">
        <f>('F4 (N) New'!D34)</f>
        <v>0</v>
      </c>
      <c r="E38" s="308">
        <f>('F4 (N) New'!E35)</f>
        <v>0</v>
      </c>
      <c r="F38" s="308">
        <f>('F4 (N) New'!F35)/1</f>
        <v>0</v>
      </c>
      <c r="G38" s="308">
        <f t="shared" si="10"/>
        <v>0</v>
      </c>
      <c r="H38" s="308">
        <f t="shared" si="11"/>
        <v>0</v>
      </c>
      <c r="I38" s="308">
        <f>('F4 (N) New'!I35)/1</f>
        <v>4.7619047619047601</v>
      </c>
      <c r="J38" s="308">
        <f>('F4 (N) New'!J35)/1</f>
        <v>0</v>
      </c>
      <c r="K38" s="308">
        <f t="shared" si="12"/>
        <v>4.7619047619047601</v>
      </c>
      <c r="L38" s="308">
        <f t="shared" si="13"/>
        <v>4.7619047619047601</v>
      </c>
      <c r="M38" s="308">
        <f>('F4 (N) New'!M35)/1</f>
        <v>4.7619047619047601</v>
      </c>
      <c r="N38" s="308">
        <f>('F4 (N) New'!N35)/1</f>
        <v>0</v>
      </c>
      <c r="O38" s="308">
        <f t="shared" si="14"/>
        <v>9.5238095238095202</v>
      </c>
      <c r="P38" s="308">
        <f t="shared" si="15"/>
        <v>9.5238095238095202</v>
      </c>
      <c r="Q38" s="308">
        <f>('F4 (N) New'!Q35)/1</f>
        <v>4.7619047619047601</v>
      </c>
      <c r="R38" s="308">
        <f>('F4 (N) New'!R35)/1</f>
        <v>0</v>
      </c>
      <c r="S38" s="308">
        <f t="shared" si="16"/>
        <v>14.285714285714281</v>
      </c>
      <c r="T38" s="308">
        <f t="shared" si="17"/>
        <v>14.285714285714281</v>
      </c>
      <c r="U38" s="308">
        <f>('F4 (N) New'!U35)/1</f>
        <v>4.7619047619047601</v>
      </c>
      <c r="V38" s="308">
        <f>('F4 (E) Existing'!V37)</f>
        <v>0</v>
      </c>
      <c r="W38" s="308">
        <f t="shared" si="18"/>
        <v>19.04761904761904</v>
      </c>
    </row>
    <row r="39" spans="1:26">
      <c r="A39" s="19"/>
      <c r="B39" s="377">
        <v>7</v>
      </c>
      <c r="C39" s="210" t="s">
        <v>435</v>
      </c>
      <c r="D39" s="308">
        <f>('F4 (N) New'!D35)</f>
        <v>0</v>
      </c>
      <c r="E39" s="308">
        <f>('F4 (N) New'!E36)</f>
        <v>0</v>
      </c>
      <c r="F39" s="308">
        <f>('F4 (N) New'!F36)/1</f>
        <v>0</v>
      </c>
      <c r="G39" s="308">
        <f t="shared" si="10"/>
        <v>0</v>
      </c>
      <c r="H39" s="308">
        <f t="shared" si="11"/>
        <v>0</v>
      </c>
      <c r="I39" s="308">
        <f>('F4 (N) New'!I36)/1</f>
        <v>0</v>
      </c>
      <c r="J39" s="308">
        <f>('F4 (N) New'!J36)/1</f>
        <v>0</v>
      </c>
      <c r="K39" s="308">
        <f t="shared" si="12"/>
        <v>0</v>
      </c>
      <c r="L39" s="308">
        <f t="shared" si="13"/>
        <v>0</v>
      </c>
      <c r="M39" s="308">
        <f>('F4 (N) New'!M36)/1</f>
        <v>6.3492063492063506</v>
      </c>
      <c r="N39" s="308">
        <f>('F4 (N) New'!N36)/1</f>
        <v>0</v>
      </c>
      <c r="O39" s="308">
        <f t="shared" si="14"/>
        <v>6.3492063492063506</v>
      </c>
      <c r="P39" s="308">
        <f t="shared" si="15"/>
        <v>6.3492063492063506</v>
      </c>
      <c r="Q39" s="308">
        <f>('F4 (N) New'!Q36)/1</f>
        <v>6.3492063492063506</v>
      </c>
      <c r="R39" s="308">
        <f>('F4 (N) New'!R36)/1</f>
        <v>0</v>
      </c>
      <c r="S39" s="308">
        <f t="shared" si="16"/>
        <v>12.698412698412701</v>
      </c>
      <c r="T39" s="308">
        <f t="shared" si="17"/>
        <v>12.698412698412701</v>
      </c>
      <c r="U39" s="308">
        <f>('F4 (N) New'!U36)/1</f>
        <v>6.3492063492063506</v>
      </c>
      <c r="V39" s="308">
        <f>('F4 (E) Existing'!V38)</f>
        <v>0</v>
      </c>
      <c r="W39" s="308">
        <f t="shared" si="18"/>
        <v>19.047619047619051</v>
      </c>
    </row>
    <row r="40" spans="1:26">
      <c r="A40" s="19"/>
      <c r="B40" s="160">
        <v>8</v>
      </c>
      <c r="C40" s="210" t="s">
        <v>429</v>
      </c>
      <c r="D40" s="308">
        <f>('F4 (N) New'!D36)</f>
        <v>0</v>
      </c>
      <c r="E40" s="308">
        <f>('F4 (N) New'!E37)</f>
        <v>0</v>
      </c>
      <c r="F40" s="308">
        <f>('F4 (N) New'!F37)/1</f>
        <v>0</v>
      </c>
      <c r="G40" s="308">
        <f t="shared" si="10"/>
        <v>0</v>
      </c>
      <c r="H40" s="308">
        <f t="shared" si="11"/>
        <v>0</v>
      </c>
      <c r="I40" s="308">
        <f>('F4 (N) New'!I37)/1</f>
        <v>0</v>
      </c>
      <c r="J40" s="308">
        <f>('F4 (N) New'!J37)/1</f>
        <v>0</v>
      </c>
      <c r="K40" s="308">
        <f t="shared" si="12"/>
        <v>0</v>
      </c>
      <c r="L40" s="308">
        <f t="shared" si="13"/>
        <v>0</v>
      </c>
      <c r="M40" s="308">
        <f>('F4 (N) New'!M37)/1</f>
        <v>0</v>
      </c>
      <c r="N40" s="308">
        <f>('F4 (N) New'!N37)/1</f>
        <v>0</v>
      </c>
      <c r="O40" s="308">
        <f t="shared" si="14"/>
        <v>0</v>
      </c>
      <c r="P40" s="308">
        <f t="shared" si="15"/>
        <v>0</v>
      </c>
      <c r="Q40" s="308">
        <f>('F4 (N) New'!Q37)/1</f>
        <v>14.285714299999999</v>
      </c>
      <c r="R40" s="308">
        <f>('F4 (N) New'!R37)/1</f>
        <v>0</v>
      </c>
      <c r="S40" s="308">
        <f t="shared" si="16"/>
        <v>14.285714299999999</v>
      </c>
      <c r="T40" s="308">
        <f t="shared" si="17"/>
        <v>14.285714299999999</v>
      </c>
      <c r="U40" s="308">
        <f>('F4 (N) New'!U37)/1</f>
        <v>14.285714299999999</v>
      </c>
      <c r="V40" s="308">
        <f>('F4 (E) Existing'!V39)</f>
        <v>0</v>
      </c>
      <c r="W40" s="308">
        <f t="shared" si="18"/>
        <v>28.571428599999997</v>
      </c>
    </row>
    <row r="41" spans="1:26" ht="16.899999999999999">
      <c r="A41" s="19"/>
      <c r="B41" s="212"/>
      <c r="C41" s="182" t="s">
        <v>219</v>
      </c>
      <c r="D41" s="676">
        <f>SUM(D33:D40)</f>
        <v>26.139856636507908</v>
      </c>
      <c r="E41" s="676">
        <f t="shared" ref="E41:W41" si="19">SUM(E33:E40)</f>
        <v>53.848298773015827</v>
      </c>
      <c r="F41" s="676">
        <f t="shared" si="19"/>
        <v>0</v>
      </c>
      <c r="G41" s="676">
        <f t="shared" si="19"/>
        <v>79.988155409523728</v>
      </c>
      <c r="H41" s="676">
        <f t="shared" si="19"/>
        <v>79.988155409523728</v>
      </c>
      <c r="I41" s="676">
        <f t="shared" si="19"/>
        <v>58.610203534920586</v>
      </c>
      <c r="J41" s="676">
        <f t="shared" si="19"/>
        <v>0</v>
      </c>
      <c r="K41" s="676">
        <f t="shared" si="19"/>
        <v>138.59835894444433</v>
      </c>
      <c r="L41" s="676">
        <f t="shared" si="19"/>
        <v>138.59835894444433</v>
      </c>
      <c r="M41" s="676">
        <f t="shared" si="19"/>
        <v>64.959409884126941</v>
      </c>
      <c r="N41" s="676">
        <f t="shared" si="19"/>
        <v>0</v>
      </c>
      <c r="O41" s="676">
        <f t="shared" si="19"/>
        <v>203.55776882857128</v>
      </c>
      <c r="P41" s="676">
        <f t="shared" si="19"/>
        <v>203.55776882857128</v>
      </c>
      <c r="Q41" s="676">
        <f t="shared" si="19"/>
        <v>79.245124184126936</v>
      </c>
      <c r="R41" s="676">
        <f t="shared" si="19"/>
        <v>0</v>
      </c>
      <c r="S41" s="676">
        <f t="shared" si="19"/>
        <v>282.80289301269818</v>
      </c>
      <c r="T41" s="676">
        <f t="shared" si="19"/>
        <v>282.80289301269818</v>
      </c>
      <c r="U41" s="676">
        <f t="shared" si="19"/>
        <v>77.748609739682493</v>
      </c>
      <c r="V41" s="676">
        <f t="shared" si="19"/>
        <v>0</v>
      </c>
      <c r="W41" s="676">
        <f t="shared" si="19"/>
        <v>360.55150275238066</v>
      </c>
    </row>
    <row r="42" spans="1:26" ht="16.899999999999999">
      <c r="A42" s="19"/>
      <c r="B42" s="183"/>
      <c r="C42" s="214"/>
      <c r="D42" s="156"/>
      <c r="E42" s="215"/>
      <c r="F42" s="215"/>
      <c r="G42" s="156"/>
      <c r="H42" s="214"/>
      <c r="I42" s="214"/>
      <c r="J42" s="214"/>
      <c r="K42" s="214"/>
      <c r="L42" s="183"/>
      <c r="M42" s="183"/>
      <c r="N42" s="183"/>
      <c r="O42" s="183"/>
      <c r="P42" s="183"/>
      <c r="Q42" s="183"/>
      <c r="R42" s="183"/>
      <c r="S42" s="183"/>
      <c r="T42" s="183"/>
      <c r="U42" s="183"/>
      <c r="V42" s="183"/>
      <c r="W42" s="183"/>
    </row>
    <row r="43" spans="1:26" ht="16.899999999999999">
      <c r="A43" s="19"/>
      <c r="B43" s="213" t="s">
        <v>436</v>
      </c>
      <c r="C43" s="216"/>
      <c r="D43" s="216"/>
      <c r="E43" s="216"/>
      <c r="F43" s="216"/>
      <c r="G43" s="216"/>
      <c r="H43" s="216"/>
      <c r="I43" s="216"/>
      <c r="J43" s="216"/>
      <c r="K43" s="216"/>
      <c r="L43" s="217"/>
      <c r="M43" s="217"/>
      <c r="N43" s="183"/>
      <c r="O43" s="183"/>
      <c r="P43" s="183"/>
      <c r="Q43" s="183"/>
      <c r="R43" s="183"/>
      <c r="S43" s="183"/>
      <c r="T43" s="156"/>
      <c r="U43" s="215"/>
      <c r="V43" s="215"/>
      <c r="W43" s="156"/>
      <c r="X43" s="12"/>
      <c r="Y43" s="12"/>
      <c r="Z43" s="12"/>
    </row>
    <row r="44" spans="1:26" ht="16.899999999999999">
      <c r="A44" s="19"/>
      <c r="B44" s="821" t="s">
        <v>437</v>
      </c>
      <c r="C44" s="821"/>
      <c r="D44" s="821"/>
      <c r="E44" s="821"/>
      <c r="F44" s="821"/>
      <c r="G44" s="821"/>
      <c r="H44" s="821"/>
      <c r="I44" s="821"/>
      <c r="J44" s="821"/>
      <c r="K44" s="821"/>
      <c r="L44" s="217"/>
      <c r="M44" s="217"/>
      <c r="N44" s="183"/>
      <c r="O44" s="183"/>
      <c r="P44" s="183"/>
      <c r="Q44" s="183"/>
      <c r="R44" s="183"/>
      <c r="S44" s="183"/>
      <c r="T44" s="156"/>
      <c r="U44" s="215"/>
      <c r="V44" s="215"/>
      <c r="W44" s="156"/>
      <c r="X44" s="12"/>
      <c r="Y44" s="12"/>
      <c r="Z44" s="12"/>
    </row>
    <row r="45" spans="1:26" ht="16.899999999999999">
      <c r="A45" s="19"/>
      <c r="B45" s="183"/>
      <c r="C45" s="214"/>
      <c r="D45" s="214"/>
      <c r="E45" s="214"/>
      <c r="F45" s="214"/>
      <c r="G45" s="214"/>
      <c r="H45" s="214"/>
      <c r="I45" s="214"/>
      <c r="J45" s="214"/>
      <c r="K45" s="214"/>
      <c r="L45" s="183"/>
      <c r="M45" s="183"/>
      <c r="N45" s="183"/>
      <c r="O45" s="183"/>
      <c r="P45" s="183"/>
      <c r="Q45" s="183"/>
      <c r="R45" s="183"/>
      <c r="S45" s="183"/>
      <c r="T45" s="183"/>
      <c r="U45" s="183"/>
      <c r="V45" s="183"/>
      <c r="W45" s="183"/>
    </row>
    <row r="46" spans="1:26">
      <c r="A46" s="19"/>
      <c r="B46" s="156"/>
      <c r="C46" s="156"/>
      <c r="D46" s="156"/>
      <c r="E46" s="156"/>
      <c r="F46" s="156"/>
      <c r="G46" s="156"/>
      <c r="H46" s="156"/>
      <c r="I46" s="156"/>
      <c r="J46" s="156"/>
      <c r="K46" s="156"/>
      <c r="L46" s="156"/>
      <c r="M46" s="156"/>
      <c r="N46" s="156"/>
      <c r="O46" s="156"/>
      <c r="P46" s="156"/>
      <c r="Q46" s="156"/>
      <c r="R46" s="156"/>
      <c r="S46" s="156"/>
      <c r="T46" s="156"/>
      <c r="U46" s="156"/>
      <c r="V46" s="156"/>
      <c r="W46" s="156"/>
    </row>
    <row r="47" spans="1:26">
      <c r="A47" s="19"/>
      <c r="B47" s="155" t="s">
        <v>438</v>
      </c>
      <c r="C47" s="156"/>
      <c r="D47" s="156"/>
      <c r="E47" s="156"/>
      <c r="F47" s="156"/>
      <c r="G47" s="156"/>
      <c r="H47" s="156"/>
      <c r="I47" s="156"/>
      <c r="J47" s="156"/>
      <c r="K47" s="156"/>
      <c r="L47" s="156"/>
      <c r="M47" s="156"/>
      <c r="N47" s="156"/>
      <c r="O47" s="156"/>
      <c r="P47" s="156"/>
      <c r="Q47" s="156"/>
      <c r="R47" s="156"/>
      <c r="S47" s="156"/>
      <c r="T47" s="156"/>
      <c r="U47" s="156"/>
      <c r="V47" s="156"/>
      <c r="W47" s="156"/>
    </row>
    <row r="48" spans="1:26">
      <c r="A48" s="19"/>
      <c r="B48" s="155"/>
      <c r="C48" s="156"/>
      <c r="D48" s="156"/>
      <c r="E48" s="156"/>
      <c r="F48" s="156"/>
      <c r="G48" s="156"/>
      <c r="H48" s="156"/>
      <c r="I48" s="156"/>
      <c r="J48" s="156"/>
      <c r="K48" s="156"/>
      <c r="L48" s="156"/>
      <c r="M48" s="156"/>
      <c r="N48" s="156"/>
      <c r="O48" s="156"/>
      <c r="P48" s="156"/>
      <c r="Q48" s="156"/>
      <c r="R48" s="156"/>
      <c r="S48" s="156"/>
      <c r="T48" s="156"/>
      <c r="U48" s="156"/>
      <c r="V48" s="156"/>
      <c r="W48" s="156"/>
    </row>
    <row r="49" spans="1:24" ht="16.899999999999999">
      <c r="A49" s="19"/>
      <c r="B49" s="183"/>
      <c r="C49" s="214"/>
      <c r="D49" s="214"/>
      <c r="E49" s="214"/>
      <c r="F49" s="214"/>
      <c r="G49" s="214"/>
      <c r="H49" s="214"/>
      <c r="I49" s="214"/>
      <c r="J49" s="214"/>
      <c r="K49" s="214"/>
      <c r="L49" s="183"/>
      <c r="M49" s="183"/>
      <c r="N49" s="183"/>
      <c r="O49" s="183"/>
      <c r="P49" s="183"/>
      <c r="Q49" s="183"/>
      <c r="R49" s="183"/>
      <c r="S49" s="183"/>
      <c r="T49" s="183"/>
      <c r="U49" s="183"/>
      <c r="V49" s="183"/>
      <c r="W49" s="180" t="s">
        <v>52</v>
      </c>
    </row>
    <row r="50" spans="1:24">
      <c r="A50" s="19"/>
      <c r="B50" s="811" t="s">
        <v>2</v>
      </c>
      <c r="C50" s="811" t="s">
        <v>53</v>
      </c>
      <c r="D50" s="811" t="s">
        <v>56</v>
      </c>
      <c r="E50" s="811"/>
      <c r="F50" s="811"/>
      <c r="G50" s="811"/>
      <c r="H50" s="811" t="s">
        <v>57</v>
      </c>
      <c r="I50" s="811"/>
      <c r="J50" s="811"/>
      <c r="K50" s="811"/>
      <c r="L50" s="811" t="s">
        <v>58</v>
      </c>
      <c r="M50" s="811"/>
      <c r="N50" s="811"/>
      <c r="O50" s="811"/>
      <c r="P50" s="811" t="s">
        <v>59</v>
      </c>
      <c r="Q50" s="811"/>
      <c r="R50" s="811"/>
      <c r="S50" s="811"/>
      <c r="T50" s="811" t="s">
        <v>60</v>
      </c>
      <c r="U50" s="811"/>
      <c r="V50" s="811"/>
      <c r="W50" s="811"/>
    </row>
    <row r="51" spans="1:24">
      <c r="A51" s="19"/>
      <c r="B51" s="811"/>
      <c r="C51" s="811"/>
      <c r="D51" s="815" t="s">
        <v>61</v>
      </c>
      <c r="E51" s="818"/>
      <c r="F51" s="818"/>
      <c r="G51" s="818"/>
      <c r="H51" s="815" t="s">
        <v>61</v>
      </c>
      <c r="I51" s="818"/>
      <c r="J51" s="818"/>
      <c r="K51" s="818"/>
      <c r="L51" s="815" t="s">
        <v>61</v>
      </c>
      <c r="M51" s="818"/>
      <c r="N51" s="818"/>
      <c r="O51" s="818"/>
      <c r="P51" s="815" t="s">
        <v>61</v>
      </c>
      <c r="Q51" s="818"/>
      <c r="R51" s="818"/>
      <c r="S51" s="818"/>
      <c r="T51" s="815" t="s">
        <v>61</v>
      </c>
      <c r="U51" s="818"/>
      <c r="V51" s="818"/>
      <c r="W51" s="818"/>
    </row>
    <row r="52" spans="1:24" ht="54" customHeight="1">
      <c r="A52" s="19"/>
      <c r="B52" s="811"/>
      <c r="C52" s="811"/>
      <c r="D52" s="168" t="s">
        <v>405</v>
      </c>
      <c r="E52" s="168" t="s">
        <v>406</v>
      </c>
      <c r="F52" s="169" t="s">
        <v>433</v>
      </c>
      <c r="G52" s="168" t="s">
        <v>408</v>
      </c>
      <c r="H52" s="168" t="s">
        <v>405</v>
      </c>
      <c r="I52" s="168" t="s">
        <v>406</v>
      </c>
      <c r="J52" s="169" t="s">
        <v>433</v>
      </c>
      <c r="K52" s="168" t="s">
        <v>408</v>
      </c>
      <c r="L52" s="168" t="s">
        <v>405</v>
      </c>
      <c r="M52" s="168" t="s">
        <v>406</v>
      </c>
      <c r="N52" s="169" t="s">
        <v>433</v>
      </c>
      <c r="O52" s="168" t="s">
        <v>408</v>
      </c>
      <c r="P52" s="168" t="s">
        <v>405</v>
      </c>
      <c r="Q52" s="168" t="s">
        <v>406</v>
      </c>
      <c r="R52" s="169" t="s">
        <v>433</v>
      </c>
      <c r="S52" s="168" t="s">
        <v>408</v>
      </c>
      <c r="T52" s="168" t="s">
        <v>405</v>
      </c>
      <c r="U52" s="168" t="s">
        <v>406</v>
      </c>
      <c r="V52" s="169" t="s">
        <v>433</v>
      </c>
      <c r="W52" s="168" t="s">
        <v>408</v>
      </c>
    </row>
    <row r="53" spans="1:24">
      <c r="A53" s="19"/>
      <c r="B53" s="153"/>
      <c r="C53" s="153"/>
      <c r="D53" s="153" t="s">
        <v>102</v>
      </c>
      <c r="E53" s="153" t="s">
        <v>103</v>
      </c>
      <c r="F53" s="153" t="s">
        <v>409</v>
      </c>
      <c r="G53" s="153" t="s">
        <v>410</v>
      </c>
      <c r="H53" s="153" t="s">
        <v>411</v>
      </c>
      <c r="I53" s="153" t="s">
        <v>412</v>
      </c>
      <c r="J53" s="153" t="s">
        <v>108</v>
      </c>
      <c r="K53" s="153" t="s">
        <v>413</v>
      </c>
      <c r="L53" s="153" t="s">
        <v>414</v>
      </c>
      <c r="M53" s="153" t="s">
        <v>415</v>
      </c>
      <c r="N53" s="153" t="s">
        <v>415</v>
      </c>
      <c r="O53" s="153" t="s">
        <v>416</v>
      </c>
      <c r="P53" s="153" t="s">
        <v>417</v>
      </c>
      <c r="Q53" s="153" t="s">
        <v>418</v>
      </c>
      <c r="R53" s="153" t="s">
        <v>419</v>
      </c>
      <c r="S53" s="153" t="s">
        <v>420</v>
      </c>
      <c r="T53" s="153" t="s">
        <v>421</v>
      </c>
      <c r="U53" s="153" t="s">
        <v>422</v>
      </c>
      <c r="V53" s="153" t="s">
        <v>423</v>
      </c>
      <c r="W53" s="153" t="s">
        <v>424</v>
      </c>
    </row>
    <row r="54" spans="1:24">
      <c r="A54" s="19"/>
      <c r="B54" s="209">
        <v>1</v>
      </c>
      <c r="C54" s="210" t="s">
        <v>425</v>
      </c>
      <c r="D54" s="309">
        <f>('F4 (E) Existing'!D52)</f>
        <v>7.0068713000000002</v>
      </c>
      <c r="E54" s="309">
        <f>('F4 (E) Existing'!E52)</f>
        <v>0</v>
      </c>
      <c r="F54" s="309">
        <f>('F4 (E) Existing'!F52)</f>
        <v>0.93098289999999995</v>
      </c>
      <c r="G54" s="309">
        <f>D54+E54-F54</f>
        <v>6.0758884000000002</v>
      </c>
      <c r="H54" s="309">
        <f>G54</f>
        <v>6.0758884000000002</v>
      </c>
      <c r="I54" s="309">
        <f>('F4 (E) Existing'!I52)</f>
        <v>0</v>
      </c>
      <c r="J54" s="309">
        <f>('F4 (E) Existing'!J52)</f>
        <v>0.93098289999999995</v>
      </c>
      <c r="K54" s="309">
        <f>H54+I54-J54</f>
        <v>5.1449055000000001</v>
      </c>
      <c r="L54" s="309">
        <f>K54</f>
        <v>5.1449055000000001</v>
      </c>
      <c r="M54" s="309">
        <f>('F4 (E) Existing'!M52)</f>
        <v>0</v>
      </c>
      <c r="N54" s="309">
        <f>('F4 (E) Existing'!N52)</f>
        <v>0.93098289999999995</v>
      </c>
      <c r="O54" s="309">
        <f>L54+M54-N54</f>
        <v>4.2139226000000001</v>
      </c>
      <c r="P54" s="309">
        <f>O54</f>
        <v>4.2139226000000001</v>
      </c>
      <c r="Q54" s="309">
        <f>'F4 (E) Existing'!Q52</f>
        <v>0</v>
      </c>
      <c r="R54" s="309">
        <f>'F4 (E) Existing'!R52</f>
        <v>0.93098289999999995</v>
      </c>
      <c r="S54" s="309">
        <f>P54+Q54-R54</f>
        <v>3.2829397</v>
      </c>
      <c r="T54" s="309">
        <f>S54</f>
        <v>3.2829397</v>
      </c>
      <c r="U54" s="309">
        <f>'F4 (E) Existing'!U52</f>
        <v>0</v>
      </c>
      <c r="V54" s="309">
        <f>'F4 (E) Existing'!V52</f>
        <v>0.93098289999999995</v>
      </c>
      <c r="W54" s="309">
        <f>T54+U54-V54</f>
        <v>2.3519568</v>
      </c>
    </row>
    <row r="55" spans="1:24">
      <c r="A55" s="19"/>
      <c r="B55" s="209">
        <v>2</v>
      </c>
      <c r="C55" s="210" t="s">
        <v>426</v>
      </c>
      <c r="D55" s="309">
        <f>('F4 (E) Existing'!D53)</f>
        <v>9.1928744444444401</v>
      </c>
      <c r="E55" s="309">
        <f>('F4 (E) Existing'!E53)</f>
        <v>0</v>
      </c>
      <c r="F55" s="309">
        <f>('F4 (E) Existing'!F53)</f>
        <v>2.13787777777778</v>
      </c>
      <c r="G55" s="309">
        <f t="shared" ref="G55:G61" si="20">D55+E55-F55</f>
        <v>7.0549966666666606</v>
      </c>
      <c r="H55" s="309">
        <f t="shared" ref="H55:H61" si="21">G55</f>
        <v>7.0549966666666606</v>
      </c>
      <c r="I55" s="309">
        <f>('F4 (E) Existing'!I53)</f>
        <v>0</v>
      </c>
      <c r="J55" s="309">
        <f>('F4 (E) Existing'!J53)</f>
        <v>2.13787777777778</v>
      </c>
      <c r="K55" s="309">
        <f t="shared" ref="K55:K61" si="22">H55+I55-J55</f>
        <v>4.917118888888881</v>
      </c>
      <c r="L55" s="309">
        <f t="shared" ref="L55:L61" si="23">K55</f>
        <v>4.917118888888881</v>
      </c>
      <c r="M55" s="309">
        <f>('F4 (E) Existing'!M53)</f>
        <v>0</v>
      </c>
      <c r="N55" s="309">
        <f>('F4 (E) Existing'!N53)</f>
        <v>2.13787777777778</v>
      </c>
      <c r="O55" s="309">
        <f t="shared" ref="O55:O61" si="24">L55+M55-N55</f>
        <v>2.7792411111111011</v>
      </c>
      <c r="P55" s="309">
        <f t="shared" ref="P55:P61" si="25">O55</f>
        <v>2.7792411111111011</v>
      </c>
      <c r="Q55" s="309">
        <f>'F4 (E) Existing'!Q53</f>
        <v>0</v>
      </c>
      <c r="R55" s="309">
        <f>'F4 (E) Existing'!R53</f>
        <v>2.13787777777778</v>
      </c>
      <c r="S55" s="309">
        <f t="shared" ref="S55:S61" si="26">P55+Q55-R55</f>
        <v>0.64136333333332107</v>
      </c>
      <c r="T55" s="309">
        <f t="shared" ref="T55:T61" si="27">S55</f>
        <v>0.64136333333332107</v>
      </c>
      <c r="U55" s="309">
        <f>'F4 (E) Existing'!U53</f>
        <v>0</v>
      </c>
      <c r="V55" s="309">
        <f>'F4 (E) Existing'!V53</f>
        <v>0.64136333333333506</v>
      </c>
      <c r="W55" s="309">
        <f>T55+U55-V55</f>
        <v>-1.3988810110276972E-14</v>
      </c>
    </row>
    <row r="56" spans="1:24">
      <c r="A56" s="19"/>
      <c r="B56" s="209">
        <v>3</v>
      </c>
      <c r="C56" s="210" t="s">
        <v>439</v>
      </c>
      <c r="D56" s="309">
        <f>('F4 (E) Existing'!D54)</f>
        <v>96.981233968253989</v>
      </c>
      <c r="E56" s="309">
        <f>('F4 (E) Existing'!E54)</f>
        <v>0</v>
      </c>
      <c r="F56" s="309">
        <f>('F4 (E) Existing'!F54)</f>
        <v>18.298346031746</v>
      </c>
      <c r="G56" s="309">
        <f t="shared" si="20"/>
        <v>78.682887936507996</v>
      </c>
      <c r="H56" s="309">
        <f t="shared" si="21"/>
        <v>78.682887936507996</v>
      </c>
      <c r="I56" s="309">
        <f>('F4 (E) Existing'!I54)</f>
        <v>0</v>
      </c>
      <c r="J56" s="309">
        <f>('F4 (E) Existing'!J54)</f>
        <v>18.298346031746</v>
      </c>
      <c r="K56" s="309">
        <f t="shared" si="22"/>
        <v>60.384541904761996</v>
      </c>
      <c r="L56" s="309">
        <f t="shared" si="23"/>
        <v>60.384541904761996</v>
      </c>
      <c r="M56" s="309">
        <f>('F4 (E) Existing'!M54)</f>
        <v>0</v>
      </c>
      <c r="N56" s="309">
        <f>('F4 (E) Existing'!N54)</f>
        <v>18.298346031746</v>
      </c>
      <c r="O56" s="309">
        <f t="shared" si="24"/>
        <v>42.086195873015996</v>
      </c>
      <c r="P56" s="309">
        <f t="shared" si="25"/>
        <v>42.086195873015996</v>
      </c>
      <c r="Q56" s="309">
        <f>'F4 (E) Existing'!Q54</f>
        <v>0</v>
      </c>
      <c r="R56" s="309">
        <f>'F4 (E) Existing'!R54</f>
        <v>18.298346031746</v>
      </c>
      <c r="S56" s="309">
        <f t="shared" si="26"/>
        <v>23.787849841269995</v>
      </c>
      <c r="T56" s="309">
        <f t="shared" si="27"/>
        <v>23.787849841269995</v>
      </c>
      <c r="U56" s="309">
        <f>'F4 (E) Existing'!U54</f>
        <v>0</v>
      </c>
      <c r="V56" s="309">
        <f>'F4 (E) Existing'!V54</f>
        <v>18.298346031746</v>
      </c>
      <c r="W56" s="309">
        <f t="shared" ref="W56:W61" si="28">T56+U56-V56</f>
        <v>5.4895038095239954</v>
      </c>
    </row>
    <row r="57" spans="1:24">
      <c r="A57" s="19"/>
      <c r="B57" s="209">
        <v>4</v>
      </c>
      <c r="C57" s="210" t="s">
        <v>89</v>
      </c>
      <c r="D57" s="309">
        <f>('F4 (E) Existing'!D55)</f>
        <v>4.0958736507936493</v>
      </c>
      <c r="E57" s="309">
        <f>('F4 (E) Existing'!E55)</f>
        <v>0</v>
      </c>
      <c r="F57" s="309">
        <f>('F4 (E) Existing'!F55)</f>
        <v>0.77280634920634894</v>
      </c>
      <c r="G57" s="309">
        <f t="shared" si="20"/>
        <v>3.3230673015873005</v>
      </c>
      <c r="H57" s="309">
        <f t="shared" si="21"/>
        <v>3.3230673015873005</v>
      </c>
      <c r="I57" s="309">
        <f>('F4 (E) Existing'!I55)</f>
        <v>0</v>
      </c>
      <c r="J57" s="309">
        <f>('F4 (E) Existing'!J55)</f>
        <v>0.77280634920634894</v>
      </c>
      <c r="K57" s="309">
        <f t="shared" si="22"/>
        <v>2.5502609523809516</v>
      </c>
      <c r="L57" s="309">
        <f t="shared" si="23"/>
        <v>2.5502609523809516</v>
      </c>
      <c r="M57" s="309">
        <f>('F4 (E) Existing'!M55)</f>
        <v>0</v>
      </c>
      <c r="N57" s="309">
        <f>('F4 (E) Existing'!N55)</f>
        <v>0.77280634920634894</v>
      </c>
      <c r="O57" s="309">
        <f t="shared" si="24"/>
        <v>1.7774546031746028</v>
      </c>
      <c r="P57" s="309">
        <f t="shared" si="25"/>
        <v>1.7774546031746028</v>
      </c>
      <c r="Q57" s="309">
        <f>'F4 (E) Existing'!Q55</f>
        <v>0</v>
      </c>
      <c r="R57" s="309">
        <f>'F4 (E) Existing'!R55</f>
        <v>0.77280634920634894</v>
      </c>
      <c r="S57" s="309">
        <f t="shared" si="26"/>
        <v>1.004648253968254</v>
      </c>
      <c r="T57" s="309">
        <f t="shared" si="27"/>
        <v>1.004648253968254</v>
      </c>
      <c r="U57" s="309">
        <f>'F4 (E) Existing'!U55</f>
        <v>0</v>
      </c>
      <c r="V57" s="309">
        <f>'F4 (E) Existing'!V55</f>
        <v>0.77280634920634894</v>
      </c>
      <c r="W57" s="309">
        <f t="shared" si="28"/>
        <v>0.23184190476190503</v>
      </c>
    </row>
    <row r="58" spans="1:24">
      <c r="A58" s="19"/>
      <c r="B58" s="209">
        <v>5</v>
      </c>
      <c r="C58" s="210" t="s">
        <v>387</v>
      </c>
      <c r="D58" s="309">
        <f>'F4 (N) New'!D34</f>
        <v>0</v>
      </c>
      <c r="E58" s="309">
        <f>'F4 (N) New'!E51</f>
        <v>199.76220000000001</v>
      </c>
      <c r="F58" s="309">
        <f>'F4 (N) New'!F51</f>
        <v>31.708285714285701</v>
      </c>
      <c r="G58" s="309">
        <f t="shared" si="20"/>
        <v>168.05391428571431</v>
      </c>
      <c r="H58" s="309">
        <f t="shared" si="21"/>
        <v>168.05391428571431</v>
      </c>
      <c r="I58" s="309">
        <f>'F4 (N) New'!I51</f>
        <v>0</v>
      </c>
      <c r="J58" s="309">
        <f>'F4 (N) New'!J51</f>
        <v>31.708285714285701</v>
      </c>
      <c r="K58" s="309">
        <f t="shared" si="22"/>
        <v>136.34562857142862</v>
      </c>
      <c r="L58" s="309">
        <f t="shared" si="23"/>
        <v>136.34562857142862</v>
      </c>
      <c r="M58" s="309">
        <f>('F4 (E) Existing'!M56)</f>
        <v>0</v>
      </c>
      <c r="N58" s="309">
        <f>'F4 (N) New'!N51</f>
        <v>31.708285714285701</v>
      </c>
      <c r="O58" s="309">
        <f t="shared" si="24"/>
        <v>104.63734285714293</v>
      </c>
      <c r="P58" s="309">
        <f t="shared" si="25"/>
        <v>104.63734285714293</v>
      </c>
      <c r="Q58" s="309">
        <f>'F4 (N) New'!Q51</f>
        <v>0</v>
      </c>
      <c r="R58" s="309">
        <f>'F4 (N) New'!R51</f>
        <v>31.708285714285701</v>
      </c>
      <c r="S58" s="309">
        <f t="shared" si="26"/>
        <v>72.929057142857232</v>
      </c>
      <c r="T58" s="309">
        <f t="shared" si="27"/>
        <v>72.929057142857232</v>
      </c>
      <c r="U58" s="309">
        <f>'F4 (N) New'!U51</f>
        <v>0</v>
      </c>
      <c r="V58" s="309">
        <f>'F4 (N) New'!V51</f>
        <v>31.708285714285701</v>
      </c>
      <c r="W58" s="309">
        <f t="shared" si="28"/>
        <v>41.220771428571531</v>
      </c>
    </row>
    <row r="59" spans="1:24">
      <c r="A59" s="19"/>
      <c r="B59" s="209">
        <v>6</v>
      </c>
      <c r="C59" s="210" t="s">
        <v>388</v>
      </c>
      <c r="D59" s="309">
        <f>('F4 (N) New'!D35)</f>
        <v>0</v>
      </c>
      <c r="E59" s="309">
        <f>'F4 (N) New'!E52</f>
        <v>0</v>
      </c>
      <c r="F59" s="309">
        <f>'F4 (N) New'!F35</f>
        <v>0</v>
      </c>
      <c r="G59" s="309">
        <f t="shared" si="20"/>
        <v>0</v>
      </c>
      <c r="H59" s="309">
        <f t="shared" si="21"/>
        <v>0</v>
      </c>
      <c r="I59" s="309">
        <f>'F4 (N) New'!I52</f>
        <v>30</v>
      </c>
      <c r="J59" s="309">
        <f>'F4 (N) New'!J52</f>
        <v>4.7619047619047601</v>
      </c>
      <c r="K59" s="309">
        <f t="shared" si="22"/>
        <v>25.238095238095241</v>
      </c>
      <c r="L59" s="309">
        <f t="shared" si="23"/>
        <v>25.238095238095241</v>
      </c>
      <c r="M59" s="309">
        <f>('F4 (E) Existing'!M57)</f>
        <v>0</v>
      </c>
      <c r="N59" s="309">
        <f>'F4 (N) New'!N52</f>
        <v>4.7619047619047601</v>
      </c>
      <c r="O59" s="309">
        <f t="shared" si="24"/>
        <v>20.476190476190482</v>
      </c>
      <c r="P59" s="309">
        <f t="shared" si="25"/>
        <v>20.476190476190482</v>
      </c>
      <c r="Q59" s="309">
        <f>'F4 (N) New'!Q52</f>
        <v>0</v>
      </c>
      <c r="R59" s="309">
        <f>'F4 (N) New'!R52</f>
        <v>4.7619047619047601</v>
      </c>
      <c r="S59" s="309">
        <f t="shared" si="26"/>
        <v>15.714285714285722</v>
      </c>
      <c r="T59" s="309">
        <f t="shared" si="27"/>
        <v>15.714285714285722</v>
      </c>
      <c r="U59" s="309">
        <f>'F4 (N) New'!U52</f>
        <v>0</v>
      </c>
      <c r="V59" s="309">
        <f>'F4 (N) New'!V52</f>
        <v>4.7619047619047601</v>
      </c>
      <c r="W59" s="309">
        <f t="shared" si="28"/>
        <v>10.952380952380963</v>
      </c>
    </row>
    <row r="60" spans="1:24">
      <c r="A60" s="19"/>
      <c r="B60" s="209">
        <v>7</v>
      </c>
      <c r="C60" s="210" t="s">
        <v>435</v>
      </c>
      <c r="D60" s="309">
        <f>('F4 (N) New'!D36)</f>
        <v>0</v>
      </c>
      <c r="E60" s="309">
        <f>'F4 (N) New'!E53</f>
        <v>0</v>
      </c>
      <c r="F60" s="309">
        <f>('F4 (E) Existing'!F58+'F4 (N) New'!F36)</f>
        <v>0</v>
      </c>
      <c r="G60" s="309">
        <f t="shared" si="20"/>
        <v>0</v>
      </c>
      <c r="H60" s="309">
        <f t="shared" si="21"/>
        <v>0</v>
      </c>
      <c r="I60" s="309">
        <f>'F4 (N) New'!I53</f>
        <v>0</v>
      </c>
      <c r="J60" s="309">
        <f>'F4 (N) New'!J53</f>
        <v>0</v>
      </c>
      <c r="K60" s="309">
        <f t="shared" si="22"/>
        <v>0</v>
      </c>
      <c r="L60" s="309">
        <f t="shared" si="23"/>
        <v>0</v>
      </c>
      <c r="M60" s="309">
        <f>'F4 (N) New'!M53</f>
        <v>40</v>
      </c>
      <c r="N60" s="309">
        <f>'F4 (N) New'!N53</f>
        <v>6.3492063492063506</v>
      </c>
      <c r="O60" s="309">
        <f t="shared" si="24"/>
        <v>33.650793650793652</v>
      </c>
      <c r="P60" s="309">
        <f t="shared" si="25"/>
        <v>33.650793650793652</v>
      </c>
      <c r="Q60" s="309">
        <f>'F4 (N) New'!Q53</f>
        <v>0</v>
      </c>
      <c r="R60" s="309">
        <f>'F4 (N) New'!R53</f>
        <v>6.3492063492063506</v>
      </c>
      <c r="S60" s="309">
        <f t="shared" si="26"/>
        <v>27.301587301587301</v>
      </c>
      <c r="T60" s="309">
        <f t="shared" si="27"/>
        <v>27.301587301587301</v>
      </c>
      <c r="U60" s="309">
        <f>'F4 (N) New'!U53</f>
        <v>0</v>
      </c>
      <c r="V60" s="309">
        <f>'F4 (N) New'!V53</f>
        <v>6.3492063492063506</v>
      </c>
      <c r="W60" s="309">
        <f t="shared" si="28"/>
        <v>20.952380952380949</v>
      </c>
    </row>
    <row r="61" spans="1:24">
      <c r="A61" s="19"/>
      <c r="B61" s="160">
        <v>8</v>
      </c>
      <c r="C61" s="210" t="s">
        <v>429</v>
      </c>
      <c r="D61" s="309">
        <f>('F4 (N) New'!D37)</f>
        <v>0</v>
      </c>
      <c r="E61" s="309">
        <f>'F4 (N) New'!E54</f>
        <v>0</v>
      </c>
      <c r="F61" s="309">
        <f>'F4 (N) New'!F54</f>
        <v>0</v>
      </c>
      <c r="G61" s="309">
        <f t="shared" si="20"/>
        <v>0</v>
      </c>
      <c r="H61" s="309">
        <f t="shared" si="21"/>
        <v>0</v>
      </c>
      <c r="I61" s="309">
        <f>'F4 (N) New'!I54</f>
        <v>0</v>
      </c>
      <c r="J61" s="309">
        <f>'F4 (N) New'!J54</f>
        <v>0</v>
      </c>
      <c r="K61" s="309">
        <f t="shared" si="22"/>
        <v>0</v>
      </c>
      <c r="L61" s="309">
        <f t="shared" si="23"/>
        <v>0</v>
      </c>
      <c r="M61" s="309">
        <f>'F4 (N) New'!M54</f>
        <v>0</v>
      </c>
      <c r="N61" s="309">
        <f>'F4 (N) New'!N54</f>
        <v>0</v>
      </c>
      <c r="O61" s="309">
        <f t="shared" si="24"/>
        <v>0</v>
      </c>
      <c r="P61" s="309">
        <f t="shared" si="25"/>
        <v>0</v>
      </c>
      <c r="Q61" s="309">
        <f>'F4 (N) New'!Q54</f>
        <v>90</v>
      </c>
      <c r="R61" s="309">
        <f>'F4 (N) New'!R54</f>
        <v>14.285714299999999</v>
      </c>
      <c r="S61" s="309">
        <f t="shared" si="26"/>
        <v>75.714285700000005</v>
      </c>
      <c r="T61" s="309">
        <f t="shared" si="27"/>
        <v>75.714285700000005</v>
      </c>
      <c r="U61" s="309">
        <f>'F4 (N) New'!U54</f>
        <v>0</v>
      </c>
      <c r="V61" s="309">
        <f>'F4 (N) New'!V54</f>
        <v>14.285714299999999</v>
      </c>
      <c r="W61" s="309">
        <f t="shared" si="28"/>
        <v>61.42857140000001</v>
      </c>
    </row>
    <row r="62" spans="1:24" ht="16.899999999999999">
      <c r="A62" s="19"/>
      <c r="B62" s="36"/>
      <c r="C62" s="37" t="s">
        <v>219</v>
      </c>
      <c r="D62" s="310">
        <f t="shared" ref="D62:F62" si="29">SUM(D54:D61)</f>
        <v>117.27685336349208</v>
      </c>
      <c r="E62" s="310">
        <f t="shared" si="29"/>
        <v>199.76220000000001</v>
      </c>
      <c r="F62" s="310">
        <f t="shared" si="29"/>
        <v>53.848298773015827</v>
      </c>
      <c r="G62" s="310">
        <f>SUM(G54:G61)</f>
        <v>263.19075459047627</v>
      </c>
      <c r="H62" s="310">
        <f t="shared" ref="H62" si="30">SUM(H54:H61)</f>
        <v>263.19075459047627</v>
      </c>
      <c r="I62" s="310">
        <f t="shared" ref="I62" si="31">SUM(I54:I61)</f>
        <v>30</v>
      </c>
      <c r="J62" s="310">
        <f t="shared" ref="J62:K62" si="32">SUM(J54:J61)</f>
        <v>58.610203534920586</v>
      </c>
      <c r="K62" s="310">
        <f t="shared" si="32"/>
        <v>234.5805510555557</v>
      </c>
      <c r="L62" s="310">
        <f>SUM(L54:L61)</f>
        <v>234.5805510555557</v>
      </c>
      <c r="M62" s="310">
        <f t="shared" ref="M62" si="33">SUM(M54:M61)</f>
        <v>40</v>
      </c>
      <c r="N62" s="310">
        <f t="shared" ref="N62:O62" si="34">SUM(N54:N61)</f>
        <v>64.959409884126941</v>
      </c>
      <c r="O62" s="310">
        <f t="shared" si="34"/>
        <v>209.62114117142875</v>
      </c>
      <c r="P62" s="310">
        <f t="shared" ref="P62" si="35">SUM(P54:P61)</f>
        <v>209.62114117142875</v>
      </c>
      <c r="Q62" s="310">
        <f t="shared" ref="Q62" si="36">SUM(Q54:Q61)</f>
        <v>90</v>
      </c>
      <c r="R62" s="310">
        <f t="shared" ref="R62:S62" si="37">SUM(R54:R61)</f>
        <v>79.245124184126936</v>
      </c>
      <c r="S62" s="310">
        <f t="shared" si="37"/>
        <v>220.37601698730182</v>
      </c>
      <c r="T62" s="310">
        <f t="shared" ref="T62" si="38">SUM(T54:T61)</f>
        <v>220.37601698730182</v>
      </c>
      <c r="U62" s="310">
        <f t="shared" ref="U62" si="39">SUM(U54:U61)</f>
        <v>0</v>
      </c>
      <c r="V62" s="310">
        <f t="shared" ref="V62:W62" si="40">SUM(V54:V61)</f>
        <v>77.748609739682493</v>
      </c>
      <c r="W62" s="708">
        <f t="shared" si="40"/>
        <v>142.62740724761935</v>
      </c>
      <c r="X62" s="156"/>
    </row>
    <row r="63" spans="1:24" ht="16.899999999999999">
      <c r="T63" s="32"/>
      <c r="U63" s="32"/>
      <c r="V63" s="32"/>
    </row>
    <row r="64" spans="1:24" ht="16.899999999999999">
      <c r="T64" s="32"/>
      <c r="U64" s="32"/>
      <c r="V64" s="32"/>
    </row>
    <row r="65" spans="2:22" ht="16.899999999999999">
      <c r="B65" s="821" t="s">
        <v>430</v>
      </c>
      <c r="C65" s="821"/>
      <c r="D65" s="821"/>
      <c r="E65" s="821"/>
      <c r="F65" s="821"/>
      <c r="G65" s="821"/>
      <c r="H65" s="821"/>
      <c r="I65" s="821"/>
      <c r="J65" s="821"/>
      <c r="K65" s="821"/>
      <c r="T65" s="32"/>
      <c r="U65" s="32"/>
      <c r="V65" s="32"/>
    </row>
    <row r="66" spans="2:22" ht="16.899999999999999">
      <c r="T66" s="32"/>
      <c r="U66" s="32"/>
      <c r="V66" s="32"/>
    </row>
  </sheetData>
  <mergeCells count="39">
    <mergeCell ref="D50:G50"/>
    <mergeCell ref="D51:G51"/>
    <mergeCell ref="B44:K44"/>
    <mergeCell ref="B65:K65"/>
    <mergeCell ref="T50:W50"/>
    <mergeCell ref="C50:C52"/>
    <mergeCell ref="H50:K50"/>
    <mergeCell ref="L50:O50"/>
    <mergeCell ref="P50:S50"/>
    <mergeCell ref="H51:K51"/>
    <mergeCell ref="L51:O51"/>
    <mergeCell ref="P51:S51"/>
    <mergeCell ref="T51:W51"/>
    <mergeCell ref="B29:B31"/>
    <mergeCell ref="H29:K29"/>
    <mergeCell ref="H30:K30"/>
    <mergeCell ref="C29:C31"/>
    <mergeCell ref="L30:O30"/>
    <mergeCell ref="P30:S30"/>
    <mergeCell ref="D29:G29"/>
    <mergeCell ref="D30:G30"/>
    <mergeCell ref="B50:B52"/>
    <mergeCell ref="T10:W10"/>
    <mergeCell ref="L10:O10"/>
    <mergeCell ref="P10:S10"/>
    <mergeCell ref="T11:W11"/>
    <mergeCell ref="T29:W29"/>
    <mergeCell ref="T30:W30"/>
    <mergeCell ref="B10:B12"/>
    <mergeCell ref="C10:C12"/>
    <mergeCell ref="H10:K10"/>
    <mergeCell ref="H11:K11"/>
    <mergeCell ref="B24:K24"/>
    <mergeCell ref="D10:G10"/>
    <mergeCell ref="D11:G11"/>
    <mergeCell ref="L29:O29"/>
    <mergeCell ref="P29:S29"/>
    <mergeCell ref="L11:O11"/>
    <mergeCell ref="P11:S11"/>
  </mergeCells>
  <pageMargins left="0.27559055118110237" right="0.23622047244094491" top="0.23622047244094491" bottom="0.23622047244094491" header="0.23622047244094491" footer="0.23622047244094491"/>
  <pageSetup paperSize="9" scale="33" fitToHeight="3" orientation="landscape" r:id="rId1"/>
  <headerFooter alignWithMargins="0">
    <oddHeader>&amp;F</oddHeader>
  </headerFooter>
  <rowBreaks count="2" manualBreakCount="2">
    <brk id="25" max="22" man="1"/>
    <brk id="45" max="2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64"/>
  <sheetViews>
    <sheetView showGridLines="0" view="pageBreakPreview" zoomScale="67" zoomScaleNormal="68" zoomScaleSheetLayoutView="25" workbookViewId="0">
      <selection activeCell="D21" sqref="D21:G21"/>
    </sheetView>
  </sheetViews>
  <sheetFormatPr defaultColWidth="9.140625" defaultRowHeight="13.9"/>
  <cols>
    <col min="1" max="1" width="4.140625" style="1" customWidth="1"/>
    <col min="2" max="2" width="6.42578125" style="363" customWidth="1"/>
    <col min="3" max="3" width="36.140625" style="363" customWidth="1"/>
    <col min="4" max="4" width="20.28515625" style="363" customWidth="1"/>
    <col min="5" max="5" width="22.42578125" style="363" customWidth="1"/>
    <col min="6" max="6" width="25" style="363" customWidth="1"/>
    <col min="7" max="7" width="23.85546875" style="363" customWidth="1"/>
    <col min="8" max="8" width="18.5703125" style="363" customWidth="1"/>
    <col min="9" max="9" width="20.7109375" style="363" customWidth="1"/>
    <col min="10" max="23" width="18.5703125" style="363" customWidth="1"/>
    <col min="24" max="27" width="18.5703125" style="1" customWidth="1"/>
    <col min="28" max="16384" width="9.140625" style="1"/>
  </cols>
  <sheetData>
    <row r="1" spans="1:23">
      <c r="B1" s="507"/>
    </row>
    <row r="2" spans="1:23">
      <c r="B2" s="508"/>
      <c r="C2" s="508"/>
      <c r="D2" s="508"/>
      <c r="E2" s="508"/>
      <c r="F2" s="508"/>
      <c r="G2" s="508"/>
      <c r="H2" s="508"/>
      <c r="I2" s="508"/>
      <c r="K2" s="508"/>
      <c r="L2" s="509" t="s">
        <v>0</v>
      </c>
      <c r="M2" s="508"/>
      <c r="O2" s="508"/>
      <c r="P2" s="508"/>
      <c r="Q2" s="508"/>
      <c r="R2" s="508"/>
      <c r="S2" s="508"/>
      <c r="T2" s="508"/>
      <c r="U2" s="510"/>
      <c r="V2" s="510"/>
      <c r="W2" s="510"/>
    </row>
    <row r="3" spans="1:23">
      <c r="B3" s="508"/>
      <c r="C3" s="508"/>
      <c r="D3" s="508"/>
      <c r="E3" s="508"/>
      <c r="F3" s="508"/>
      <c r="G3" s="508"/>
      <c r="H3" s="508"/>
      <c r="I3" s="508"/>
      <c r="K3" s="508"/>
      <c r="L3" s="511" t="s">
        <v>1</v>
      </c>
      <c r="M3" s="508"/>
      <c r="O3" s="508"/>
      <c r="P3" s="508"/>
      <c r="Q3" s="508"/>
      <c r="R3" s="508"/>
      <c r="S3" s="508"/>
      <c r="T3" s="508"/>
      <c r="U3" s="510"/>
      <c r="V3" s="510"/>
      <c r="W3" s="510"/>
    </row>
    <row r="4" spans="1:23">
      <c r="B4" s="510"/>
      <c r="C4" s="508"/>
      <c r="D4" s="508"/>
      <c r="E4" s="508"/>
      <c r="F4" s="508"/>
      <c r="G4" s="508"/>
      <c r="H4" s="508"/>
      <c r="I4" s="508"/>
      <c r="K4" s="512"/>
      <c r="L4" s="509" t="s">
        <v>440</v>
      </c>
      <c r="M4" s="508"/>
      <c r="O4" s="508"/>
      <c r="P4" s="508"/>
      <c r="Q4" s="508"/>
      <c r="R4" s="508"/>
      <c r="S4" s="508"/>
      <c r="T4" s="508"/>
      <c r="U4" s="510"/>
      <c r="V4" s="510"/>
      <c r="W4" s="510"/>
    </row>
    <row r="5" spans="1:23">
      <c r="C5" s="508"/>
      <c r="D5" s="508"/>
      <c r="E5" s="508"/>
      <c r="F5" s="508"/>
      <c r="G5" s="508"/>
      <c r="I5" s="512"/>
      <c r="L5" s="512"/>
    </row>
    <row r="6" spans="1:23">
      <c r="B6" s="507"/>
      <c r="C6" s="507"/>
      <c r="D6" s="507"/>
      <c r="E6" s="507"/>
      <c r="F6" s="507"/>
      <c r="G6" s="507"/>
      <c r="I6" s="512"/>
      <c r="K6" s="512"/>
      <c r="L6" s="512"/>
    </row>
    <row r="7" spans="1:23">
      <c r="A7" s="19" t="s">
        <v>403</v>
      </c>
      <c r="B7" s="513" t="s">
        <v>404</v>
      </c>
      <c r="C7" s="513"/>
      <c r="D7" s="513"/>
      <c r="E7" s="513"/>
      <c r="F7" s="513"/>
      <c r="G7" s="513"/>
      <c r="H7" s="513"/>
      <c r="I7" s="513"/>
      <c r="J7" s="513"/>
      <c r="K7" s="513"/>
      <c r="L7" s="514"/>
      <c r="M7" s="515"/>
      <c r="N7" s="514"/>
      <c r="O7" s="515"/>
      <c r="P7" s="515"/>
      <c r="Q7" s="514"/>
      <c r="R7" s="514"/>
      <c r="T7" s="514"/>
      <c r="U7" s="514"/>
      <c r="V7" s="514"/>
      <c r="W7" s="514"/>
    </row>
    <row r="8" spans="1:23" ht="15.75" customHeight="1">
      <c r="A8" s="19"/>
      <c r="B8" s="516"/>
      <c r="C8" s="517"/>
      <c r="D8" s="517"/>
      <c r="E8" s="517"/>
      <c r="F8" s="517"/>
      <c r="G8" s="517"/>
      <c r="H8" s="517"/>
      <c r="I8" s="517"/>
      <c r="J8" s="517"/>
      <c r="K8" s="517"/>
      <c r="L8" s="514"/>
      <c r="M8" s="515"/>
      <c r="N8" s="514"/>
      <c r="O8" s="515"/>
      <c r="P8" s="515"/>
      <c r="Q8" s="514"/>
      <c r="R8" s="514"/>
      <c r="T8" s="514"/>
      <c r="U8" s="514"/>
      <c r="V8" s="514"/>
      <c r="W8" s="518"/>
    </row>
    <row r="9" spans="1:23" ht="15.75" customHeight="1">
      <c r="A9" s="19"/>
      <c r="B9" s="513"/>
      <c r="C9" s="517"/>
      <c r="D9" s="517"/>
      <c r="E9" s="517"/>
      <c r="F9" s="517"/>
      <c r="G9" s="517"/>
      <c r="H9" s="517"/>
      <c r="I9" s="517"/>
      <c r="J9" s="517"/>
      <c r="K9" s="517"/>
      <c r="L9" s="514"/>
      <c r="M9" s="515"/>
      <c r="N9" s="514"/>
      <c r="O9" s="515"/>
      <c r="P9" s="515"/>
      <c r="Q9" s="514"/>
      <c r="R9" s="514"/>
      <c r="S9" s="514"/>
      <c r="T9" s="514"/>
      <c r="U9" s="514"/>
      <c r="V9" s="514"/>
      <c r="W9" s="518" t="s">
        <v>52</v>
      </c>
    </row>
    <row r="10" spans="1:23" ht="15.75" customHeight="1">
      <c r="A10" s="19"/>
      <c r="B10" s="822" t="s">
        <v>2</v>
      </c>
      <c r="C10" s="822" t="s">
        <v>53</v>
      </c>
      <c r="D10" s="822" t="s">
        <v>56</v>
      </c>
      <c r="E10" s="822"/>
      <c r="F10" s="822"/>
      <c r="G10" s="822"/>
      <c r="H10" s="822" t="s">
        <v>57</v>
      </c>
      <c r="I10" s="822"/>
      <c r="J10" s="822"/>
      <c r="K10" s="822"/>
      <c r="L10" s="822" t="s">
        <v>58</v>
      </c>
      <c r="M10" s="822"/>
      <c r="N10" s="822"/>
      <c r="O10" s="822"/>
      <c r="P10" s="822" t="s">
        <v>59</v>
      </c>
      <c r="Q10" s="822"/>
      <c r="R10" s="822"/>
      <c r="S10" s="822"/>
      <c r="T10" s="822" t="s">
        <v>60</v>
      </c>
      <c r="U10" s="822"/>
      <c r="V10" s="822"/>
      <c r="W10" s="822"/>
    </row>
    <row r="11" spans="1:23">
      <c r="A11" s="19"/>
      <c r="B11" s="822"/>
      <c r="C11" s="822"/>
      <c r="D11" s="823" t="s">
        <v>61</v>
      </c>
      <c r="E11" s="824"/>
      <c r="F11" s="824"/>
      <c r="G11" s="824"/>
      <c r="H11" s="823" t="s">
        <v>61</v>
      </c>
      <c r="I11" s="825"/>
      <c r="J11" s="825"/>
      <c r="K11" s="825"/>
      <c r="L11" s="823" t="s">
        <v>61</v>
      </c>
      <c r="M11" s="825"/>
      <c r="N11" s="825"/>
      <c r="O11" s="825"/>
      <c r="P11" s="823" t="s">
        <v>61</v>
      </c>
      <c r="Q11" s="825"/>
      <c r="R11" s="825"/>
      <c r="S11" s="825"/>
      <c r="T11" s="823" t="s">
        <v>61</v>
      </c>
      <c r="U11" s="825"/>
      <c r="V11" s="825"/>
      <c r="W11" s="825"/>
    </row>
    <row r="12" spans="1:23" s="9" customFormat="1" ht="47.45" customHeight="1">
      <c r="A12" s="19"/>
      <c r="B12" s="822"/>
      <c r="C12" s="822"/>
      <c r="D12" s="519" t="s">
        <v>405</v>
      </c>
      <c r="E12" s="519" t="s">
        <v>406</v>
      </c>
      <c r="F12" s="519" t="s">
        <v>407</v>
      </c>
      <c r="G12" s="519" t="s">
        <v>408</v>
      </c>
      <c r="H12" s="519" t="s">
        <v>405</v>
      </c>
      <c r="I12" s="519" t="s">
        <v>406</v>
      </c>
      <c r="J12" s="519" t="s">
        <v>407</v>
      </c>
      <c r="K12" s="519" t="s">
        <v>408</v>
      </c>
      <c r="L12" s="519" t="s">
        <v>405</v>
      </c>
      <c r="M12" s="519" t="s">
        <v>406</v>
      </c>
      <c r="N12" s="519" t="s">
        <v>407</v>
      </c>
      <c r="O12" s="519" t="s">
        <v>408</v>
      </c>
      <c r="P12" s="519" t="s">
        <v>405</v>
      </c>
      <c r="Q12" s="519" t="s">
        <v>406</v>
      </c>
      <c r="R12" s="519" t="s">
        <v>407</v>
      </c>
      <c r="S12" s="519" t="s">
        <v>408</v>
      </c>
      <c r="T12" s="519" t="s">
        <v>405</v>
      </c>
      <c r="U12" s="519" t="s">
        <v>406</v>
      </c>
      <c r="V12" s="519" t="s">
        <v>407</v>
      </c>
      <c r="W12" s="519" t="s">
        <v>408</v>
      </c>
    </row>
    <row r="13" spans="1:23" s="8" customFormat="1">
      <c r="A13" s="31"/>
      <c r="B13" s="520"/>
      <c r="C13" s="520"/>
      <c r="D13" s="520" t="s">
        <v>102</v>
      </c>
      <c r="E13" s="520" t="s">
        <v>103</v>
      </c>
      <c r="F13" s="520" t="s">
        <v>409</v>
      </c>
      <c r="G13" s="520" t="s">
        <v>410</v>
      </c>
      <c r="H13" s="520" t="s">
        <v>411</v>
      </c>
      <c r="I13" s="520" t="s">
        <v>412</v>
      </c>
      <c r="J13" s="520" t="s">
        <v>108</v>
      </c>
      <c r="K13" s="520" t="s">
        <v>413</v>
      </c>
      <c r="L13" s="520" t="s">
        <v>414</v>
      </c>
      <c r="M13" s="520" t="s">
        <v>415</v>
      </c>
      <c r="N13" s="520" t="s">
        <v>415</v>
      </c>
      <c r="O13" s="520" t="s">
        <v>416</v>
      </c>
      <c r="P13" s="520" t="s">
        <v>417</v>
      </c>
      <c r="Q13" s="520" t="s">
        <v>418</v>
      </c>
      <c r="R13" s="520" t="s">
        <v>419</v>
      </c>
      <c r="S13" s="520" t="s">
        <v>420</v>
      </c>
      <c r="T13" s="520" t="s">
        <v>421</v>
      </c>
      <c r="U13" s="520" t="s">
        <v>422</v>
      </c>
      <c r="V13" s="520" t="s">
        <v>423</v>
      </c>
      <c r="W13" s="520" t="s">
        <v>424</v>
      </c>
    </row>
    <row r="14" spans="1:23" s="8" customFormat="1">
      <c r="A14" s="28"/>
      <c r="B14" s="521">
        <v>1</v>
      </c>
      <c r="C14" s="522" t="s">
        <v>425</v>
      </c>
      <c r="D14" s="523">
        <f>979982/100000</f>
        <v>9.7998200000000004</v>
      </c>
      <c r="E14" s="523">
        <v>0</v>
      </c>
      <c r="F14" s="523">
        <v>0</v>
      </c>
      <c r="G14" s="309">
        <f>D14+E14-F14</f>
        <v>9.7998200000000004</v>
      </c>
      <c r="H14" s="309">
        <f>G14</f>
        <v>9.7998200000000004</v>
      </c>
      <c r="I14" s="523">
        <v>0</v>
      </c>
      <c r="J14" s="523">
        <v>0</v>
      </c>
      <c r="K14" s="309">
        <f>H14+I14-J14</f>
        <v>9.7998200000000004</v>
      </c>
      <c r="L14" s="309">
        <f>K14</f>
        <v>9.7998200000000004</v>
      </c>
      <c r="M14" s="523">
        <v>0</v>
      </c>
      <c r="N14" s="523">
        <v>0</v>
      </c>
      <c r="O14" s="309">
        <f>L14+M14-N14</f>
        <v>9.7998200000000004</v>
      </c>
      <c r="P14" s="309">
        <f>O14</f>
        <v>9.7998200000000004</v>
      </c>
      <c r="Q14" s="523">
        <v>0</v>
      </c>
      <c r="R14" s="523">
        <v>0</v>
      </c>
      <c r="S14" s="309">
        <f>P14+Q14-R14</f>
        <v>9.7998200000000004</v>
      </c>
      <c r="T14" s="309">
        <f>S14</f>
        <v>9.7998200000000004</v>
      </c>
      <c r="U14" s="523">
        <v>0</v>
      </c>
      <c r="V14" s="523">
        <v>0</v>
      </c>
      <c r="W14" s="309">
        <f>T14+U14-V14</f>
        <v>9.7998200000000004</v>
      </c>
    </row>
    <row r="15" spans="1:23" s="8" customFormat="1">
      <c r="A15" s="28"/>
      <c r="B15" s="521">
        <v>2</v>
      </c>
      <c r="C15" s="522" t="s">
        <v>441</v>
      </c>
      <c r="D15" s="523">
        <f>1346863/100000</f>
        <v>13.468629999999999</v>
      </c>
      <c r="E15" s="523">
        <v>0</v>
      </c>
      <c r="F15" s="523">
        <v>0</v>
      </c>
      <c r="G15" s="309">
        <f t="shared" ref="G15:G16" si="0">D15+E15-F15</f>
        <v>13.468629999999999</v>
      </c>
      <c r="H15" s="309">
        <f t="shared" ref="H15:H17" si="1">G15</f>
        <v>13.468629999999999</v>
      </c>
      <c r="I15" s="523">
        <v>0</v>
      </c>
      <c r="J15" s="523">
        <v>0</v>
      </c>
      <c r="K15" s="309">
        <f t="shared" ref="K15:K16" si="2">H15+I15-J15</f>
        <v>13.468629999999999</v>
      </c>
      <c r="L15" s="309">
        <f t="shared" ref="L15:L17" si="3">K15</f>
        <v>13.468629999999999</v>
      </c>
      <c r="M15" s="523">
        <v>0</v>
      </c>
      <c r="N15" s="523">
        <v>0</v>
      </c>
      <c r="O15" s="309">
        <f t="shared" ref="O15:O16" si="4">L15+M15-N15</f>
        <v>13.468629999999999</v>
      </c>
      <c r="P15" s="309">
        <f t="shared" ref="P15:P17" si="5">O15</f>
        <v>13.468629999999999</v>
      </c>
      <c r="Q15" s="523">
        <v>0</v>
      </c>
      <c r="R15" s="523">
        <v>0</v>
      </c>
      <c r="S15" s="309">
        <f t="shared" ref="S15:S16" si="6">P15+Q15-R15</f>
        <v>13.468629999999999</v>
      </c>
      <c r="T15" s="309">
        <f t="shared" ref="T15:T17" si="7">S15</f>
        <v>13.468629999999999</v>
      </c>
      <c r="U15" s="523">
        <v>0</v>
      </c>
      <c r="V15" s="523">
        <v>0</v>
      </c>
      <c r="W15" s="309">
        <f t="shared" ref="W15:W16" si="8">T15+U15-V15</f>
        <v>13.468629999999999</v>
      </c>
    </row>
    <row r="16" spans="1:23">
      <c r="A16" s="28"/>
      <c r="B16" s="521">
        <v>3</v>
      </c>
      <c r="C16" s="522" t="s">
        <v>427</v>
      </c>
      <c r="D16" s="523">
        <f>11527958/100000</f>
        <v>115.27958</v>
      </c>
      <c r="E16" s="523">
        <v>0</v>
      </c>
      <c r="F16" s="523">
        <v>0</v>
      </c>
      <c r="G16" s="309">
        <f t="shared" si="0"/>
        <v>115.27958</v>
      </c>
      <c r="H16" s="309">
        <f t="shared" si="1"/>
        <v>115.27958</v>
      </c>
      <c r="I16" s="523">
        <v>0</v>
      </c>
      <c r="J16" s="523">
        <v>0</v>
      </c>
      <c r="K16" s="309">
        <f t="shared" si="2"/>
        <v>115.27958</v>
      </c>
      <c r="L16" s="309">
        <f t="shared" si="3"/>
        <v>115.27958</v>
      </c>
      <c r="M16" s="523">
        <v>0</v>
      </c>
      <c r="N16" s="523">
        <v>0</v>
      </c>
      <c r="O16" s="309">
        <f t="shared" si="4"/>
        <v>115.27958</v>
      </c>
      <c r="P16" s="309">
        <f t="shared" si="5"/>
        <v>115.27958</v>
      </c>
      <c r="Q16" s="523">
        <v>0</v>
      </c>
      <c r="R16" s="523">
        <v>0</v>
      </c>
      <c r="S16" s="309">
        <f t="shared" si="6"/>
        <v>115.27958</v>
      </c>
      <c r="T16" s="309">
        <f t="shared" si="7"/>
        <v>115.27958</v>
      </c>
      <c r="U16" s="523">
        <v>0</v>
      </c>
      <c r="V16" s="523">
        <v>0</v>
      </c>
      <c r="W16" s="309">
        <f t="shared" si="8"/>
        <v>115.27958</v>
      </c>
    </row>
    <row r="17" spans="1:26">
      <c r="A17" s="19"/>
      <c r="B17" s="521">
        <v>4</v>
      </c>
      <c r="C17" s="522" t="s">
        <v>89</v>
      </c>
      <c r="D17" s="523">
        <f>486868/100000</f>
        <v>4.8686800000000003</v>
      </c>
      <c r="E17" s="523">
        <v>0</v>
      </c>
      <c r="F17" s="523">
        <v>0</v>
      </c>
      <c r="G17" s="309">
        <f t="shared" ref="G17" si="9">D17+E17-F17</f>
        <v>4.8686800000000003</v>
      </c>
      <c r="H17" s="309">
        <f t="shared" si="1"/>
        <v>4.8686800000000003</v>
      </c>
      <c r="I17" s="523">
        <v>0</v>
      </c>
      <c r="J17" s="523">
        <v>0</v>
      </c>
      <c r="K17" s="309">
        <f t="shared" ref="K17" si="10">H17+I17-J17</f>
        <v>4.8686800000000003</v>
      </c>
      <c r="L17" s="309">
        <f t="shared" si="3"/>
        <v>4.8686800000000003</v>
      </c>
      <c r="M17" s="523">
        <v>0</v>
      </c>
      <c r="N17" s="523">
        <v>0</v>
      </c>
      <c r="O17" s="309">
        <f t="shared" ref="O17" si="11">L17+M17-N17</f>
        <v>4.8686800000000003</v>
      </c>
      <c r="P17" s="309">
        <f t="shared" si="5"/>
        <v>4.8686800000000003</v>
      </c>
      <c r="Q17" s="523">
        <v>0</v>
      </c>
      <c r="R17" s="523">
        <v>0</v>
      </c>
      <c r="S17" s="309">
        <f t="shared" ref="S17" si="12">P17+Q17-R17</f>
        <v>4.8686800000000003</v>
      </c>
      <c r="T17" s="309">
        <f t="shared" si="7"/>
        <v>4.8686800000000003</v>
      </c>
      <c r="U17" s="523">
        <v>0</v>
      </c>
      <c r="V17" s="523">
        <v>0</v>
      </c>
      <c r="W17" s="309">
        <f t="shared" ref="W17" si="13">T17+U17-V17</f>
        <v>4.8686800000000003</v>
      </c>
    </row>
    <row r="18" spans="1:26">
      <c r="A18" s="19"/>
      <c r="B18" s="521"/>
      <c r="C18" s="522"/>
      <c r="D18" s="504"/>
      <c r="E18" s="504"/>
      <c r="F18" s="504"/>
      <c r="G18" s="504"/>
      <c r="H18" s="504"/>
      <c r="I18" s="504"/>
      <c r="J18" s="504"/>
      <c r="K18" s="504"/>
      <c r="L18" s="504"/>
      <c r="M18" s="504"/>
      <c r="N18" s="504"/>
      <c r="O18" s="504"/>
      <c r="P18" s="504"/>
      <c r="Q18" s="504"/>
      <c r="R18" s="504"/>
      <c r="S18" s="504"/>
      <c r="T18" s="504"/>
      <c r="U18" s="504"/>
      <c r="V18" s="504"/>
      <c r="W18" s="504"/>
    </row>
    <row r="19" spans="1:26">
      <c r="A19" s="19"/>
      <c r="B19" s="521"/>
      <c r="C19" s="522"/>
      <c r="D19" s="504"/>
      <c r="E19" s="504"/>
      <c r="F19" s="504"/>
      <c r="G19" s="504"/>
      <c r="H19" s="504"/>
      <c r="I19" s="504"/>
      <c r="J19" s="504"/>
      <c r="K19" s="504"/>
      <c r="L19" s="504"/>
      <c r="M19" s="504"/>
      <c r="N19" s="504"/>
      <c r="O19" s="504"/>
      <c r="P19" s="504"/>
      <c r="Q19" s="504"/>
      <c r="R19" s="504"/>
      <c r="S19" s="504"/>
      <c r="T19" s="504"/>
      <c r="U19" s="504"/>
      <c r="V19" s="504"/>
      <c r="W19" s="504"/>
    </row>
    <row r="20" spans="1:26">
      <c r="A20" s="19"/>
      <c r="B20" s="523"/>
      <c r="C20" s="524"/>
      <c r="D20" s="504"/>
      <c r="E20" s="505"/>
      <c r="F20" s="505"/>
      <c r="G20" s="504"/>
      <c r="H20" s="504"/>
      <c r="I20" s="504"/>
      <c r="J20" s="504"/>
      <c r="K20" s="504"/>
      <c r="L20" s="504"/>
      <c r="M20" s="505"/>
      <c r="N20" s="505"/>
      <c r="O20" s="504"/>
      <c r="P20" s="504"/>
      <c r="Q20" s="505"/>
      <c r="R20" s="505"/>
      <c r="S20" s="504"/>
      <c r="T20" s="504"/>
      <c r="U20" s="505"/>
      <c r="V20" s="505"/>
      <c r="W20" s="504"/>
    </row>
    <row r="21" spans="1:26" s="8" customFormat="1" ht="18">
      <c r="A21" s="28"/>
      <c r="B21" s="525"/>
      <c r="C21" s="526" t="s">
        <v>219</v>
      </c>
      <c r="D21" s="506">
        <f>SUM(D14:D20)</f>
        <v>143.41670999999999</v>
      </c>
      <c r="E21" s="506">
        <f t="shared" ref="E21:W21" si="14">SUM(E14:E20)</f>
        <v>0</v>
      </c>
      <c r="F21" s="506">
        <f t="shared" si="14"/>
        <v>0</v>
      </c>
      <c r="G21" s="506">
        <f t="shared" si="14"/>
        <v>143.41670999999999</v>
      </c>
      <c r="H21" s="506">
        <f t="shared" si="14"/>
        <v>143.41670999999999</v>
      </c>
      <c r="I21" s="506">
        <f t="shared" si="14"/>
        <v>0</v>
      </c>
      <c r="J21" s="506">
        <f t="shared" si="14"/>
        <v>0</v>
      </c>
      <c r="K21" s="506">
        <f t="shared" si="14"/>
        <v>143.41670999999999</v>
      </c>
      <c r="L21" s="506">
        <f t="shared" si="14"/>
        <v>143.41670999999999</v>
      </c>
      <c r="M21" s="506">
        <f t="shared" si="14"/>
        <v>0</v>
      </c>
      <c r="N21" s="506">
        <f t="shared" si="14"/>
        <v>0</v>
      </c>
      <c r="O21" s="506">
        <f t="shared" si="14"/>
        <v>143.41670999999999</v>
      </c>
      <c r="P21" s="506">
        <f t="shared" si="14"/>
        <v>143.41670999999999</v>
      </c>
      <c r="Q21" s="506">
        <f t="shared" si="14"/>
        <v>0</v>
      </c>
      <c r="R21" s="506">
        <f t="shared" si="14"/>
        <v>0</v>
      </c>
      <c r="S21" s="506">
        <f t="shared" si="14"/>
        <v>143.41670999999999</v>
      </c>
      <c r="T21" s="506">
        <f t="shared" si="14"/>
        <v>143.41670999999999</v>
      </c>
      <c r="U21" s="506">
        <f t="shared" si="14"/>
        <v>0</v>
      </c>
      <c r="V21" s="506">
        <f t="shared" si="14"/>
        <v>0</v>
      </c>
      <c r="W21" s="506">
        <f t="shared" si="14"/>
        <v>143.41670999999999</v>
      </c>
      <c r="X21" s="381"/>
      <c r="Y21" s="381"/>
      <c r="Z21" s="381"/>
    </row>
    <row r="22" spans="1:26" ht="16.899999999999999">
      <c r="A22" s="19"/>
      <c r="B22" s="527"/>
      <c r="C22" s="527"/>
      <c r="D22" s="517"/>
      <c r="E22" s="517"/>
      <c r="F22" s="517"/>
      <c r="G22" s="517"/>
      <c r="H22" s="527"/>
      <c r="I22" s="527"/>
      <c r="J22" s="527"/>
      <c r="K22" s="527"/>
      <c r="L22" s="527"/>
      <c r="M22" s="527"/>
      <c r="N22" s="527"/>
      <c r="O22" s="527"/>
      <c r="P22" s="527"/>
      <c r="Q22" s="527"/>
      <c r="R22" s="514"/>
      <c r="S22" s="514"/>
      <c r="T22" s="514"/>
      <c r="U22" s="514"/>
      <c r="V22" s="514"/>
      <c r="W22" s="514"/>
      <c r="X22" s="12"/>
      <c r="Y22" s="12"/>
      <c r="Z22" s="12"/>
    </row>
    <row r="23" spans="1:26" ht="16.899999999999999">
      <c r="A23" s="19"/>
      <c r="B23" s="826" t="s">
        <v>430</v>
      </c>
      <c r="C23" s="826"/>
      <c r="D23" s="826"/>
      <c r="E23" s="826"/>
      <c r="F23" s="826"/>
      <c r="G23" s="826"/>
      <c r="H23" s="826"/>
      <c r="I23" s="826"/>
      <c r="J23" s="826"/>
      <c r="K23" s="826"/>
      <c r="L23" s="527"/>
      <c r="M23" s="527"/>
      <c r="N23" s="527"/>
      <c r="O23" s="527"/>
      <c r="P23" s="527"/>
      <c r="Q23" s="527"/>
      <c r="R23" s="514"/>
      <c r="S23" s="514"/>
      <c r="T23" s="514"/>
      <c r="U23" s="514"/>
      <c r="V23" s="514"/>
      <c r="W23" s="514"/>
      <c r="X23" s="12"/>
      <c r="Y23" s="12"/>
      <c r="Z23" s="12"/>
    </row>
    <row r="24" spans="1:26" ht="15.75" customHeight="1">
      <c r="A24" s="19"/>
      <c r="B24" s="514"/>
      <c r="C24" s="514"/>
      <c r="D24" s="514"/>
      <c r="E24" s="514"/>
      <c r="F24" s="514"/>
      <c r="G24" s="514"/>
      <c r="H24" s="514"/>
      <c r="I24" s="514"/>
      <c r="J24" s="514"/>
      <c r="K24" s="514"/>
      <c r="L24" s="514"/>
      <c r="M24" s="514"/>
      <c r="N24" s="514"/>
      <c r="O24" s="514"/>
      <c r="P24" s="514"/>
      <c r="Q24" s="514"/>
      <c r="R24" s="514"/>
      <c r="S24" s="514"/>
      <c r="T24" s="514"/>
      <c r="U24" s="514"/>
      <c r="V24" s="514"/>
      <c r="W24" s="514"/>
    </row>
    <row r="25" spans="1:26" ht="15.75" customHeight="1">
      <c r="A25" s="19"/>
      <c r="B25" s="513" t="s">
        <v>431</v>
      </c>
      <c r="C25" s="514"/>
      <c r="D25" s="514"/>
      <c r="E25" s="514"/>
      <c r="F25" s="514"/>
      <c r="G25" s="514"/>
      <c r="H25" s="514"/>
      <c r="I25" s="514"/>
      <c r="J25" s="514"/>
      <c r="K25" s="514"/>
      <c r="L25" s="514"/>
      <c r="M25" s="514"/>
      <c r="N25" s="514"/>
      <c r="O25" s="514"/>
      <c r="P25" s="514"/>
      <c r="Q25" s="514"/>
      <c r="R25" s="514"/>
      <c r="S25" s="514"/>
      <c r="T25" s="514"/>
      <c r="U25" s="514"/>
      <c r="V25" s="514"/>
      <c r="W25" s="514"/>
    </row>
    <row r="26" spans="1:26">
      <c r="A26" s="19"/>
      <c r="B26" s="513"/>
      <c r="C26" s="514"/>
      <c r="D26" s="514"/>
      <c r="E26" s="514"/>
      <c r="F26" s="514"/>
      <c r="G26" s="514"/>
      <c r="H26" s="514"/>
      <c r="I26" s="514"/>
      <c r="J26" s="514"/>
      <c r="K26" s="514"/>
      <c r="L26" s="514"/>
      <c r="M26" s="514"/>
      <c r="N26" s="514"/>
      <c r="O26" s="514"/>
      <c r="P26" s="514"/>
      <c r="Q26" s="514"/>
      <c r="R26" s="514"/>
      <c r="S26" s="514"/>
      <c r="T26" s="514"/>
      <c r="U26" s="514"/>
      <c r="V26" s="514"/>
      <c r="W26" s="514"/>
    </row>
    <row r="27" spans="1:26" ht="16.899999999999999">
      <c r="A27" s="19"/>
      <c r="B27" s="527"/>
      <c r="C27" s="528"/>
      <c r="D27" s="528"/>
      <c r="E27" s="528"/>
      <c r="F27" s="528"/>
      <c r="G27" s="528"/>
      <c r="H27" s="528"/>
      <c r="I27" s="528"/>
      <c r="J27" s="528"/>
      <c r="K27" s="528"/>
      <c r="L27" s="527"/>
      <c r="M27" s="527"/>
      <c r="N27" s="527"/>
      <c r="O27" s="527"/>
      <c r="P27" s="527"/>
      <c r="Q27" s="527"/>
      <c r="R27" s="527"/>
      <c r="T27" s="527"/>
      <c r="U27" s="527"/>
      <c r="V27" s="527"/>
      <c r="W27" s="518" t="s">
        <v>52</v>
      </c>
    </row>
    <row r="28" spans="1:26" ht="14.1" customHeight="1">
      <c r="A28" s="19"/>
      <c r="B28" s="822" t="s">
        <v>2</v>
      </c>
      <c r="C28" s="822" t="s">
        <v>53</v>
      </c>
      <c r="D28" s="822" t="s">
        <v>56</v>
      </c>
      <c r="E28" s="822"/>
      <c r="F28" s="822"/>
      <c r="G28" s="822"/>
      <c r="H28" s="822" t="s">
        <v>57</v>
      </c>
      <c r="I28" s="822"/>
      <c r="J28" s="822"/>
      <c r="K28" s="822"/>
      <c r="L28" s="822" t="s">
        <v>58</v>
      </c>
      <c r="M28" s="822"/>
      <c r="N28" s="822"/>
      <c r="O28" s="822"/>
      <c r="P28" s="822" t="s">
        <v>59</v>
      </c>
      <c r="Q28" s="822"/>
      <c r="R28" s="822"/>
      <c r="S28" s="822"/>
      <c r="T28" s="822" t="s">
        <v>60</v>
      </c>
      <c r="U28" s="822"/>
      <c r="V28" s="822"/>
      <c r="W28" s="822"/>
    </row>
    <row r="29" spans="1:26">
      <c r="A29" s="19"/>
      <c r="B29" s="822"/>
      <c r="C29" s="822"/>
      <c r="D29" s="823" t="s">
        <v>61</v>
      </c>
      <c r="E29" s="825"/>
      <c r="F29" s="825"/>
      <c r="G29" s="825"/>
      <c r="H29" s="823" t="s">
        <v>61</v>
      </c>
      <c r="I29" s="825"/>
      <c r="J29" s="825"/>
      <c r="K29" s="825"/>
      <c r="L29" s="823" t="s">
        <v>61</v>
      </c>
      <c r="M29" s="825"/>
      <c r="N29" s="825"/>
      <c r="O29" s="825"/>
      <c r="P29" s="823" t="s">
        <v>61</v>
      </c>
      <c r="Q29" s="825"/>
      <c r="R29" s="825"/>
      <c r="S29" s="825"/>
      <c r="T29" s="823" t="s">
        <v>61</v>
      </c>
      <c r="U29" s="825"/>
      <c r="V29" s="825"/>
      <c r="W29" s="825"/>
    </row>
    <row r="30" spans="1:26" ht="65.45" customHeight="1">
      <c r="A30" s="19"/>
      <c r="B30" s="822"/>
      <c r="C30" s="822"/>
      <c r="D30" s="519" t="s">
        <v>432</v>
      </c>
      <c r="E30" s="519" t="s">
        <v>406</v>
      </c>
      <c r="F30" s="529" t="s">
        <v>433</v>
      </c>
      <c r="G30" s="519" t="s">
        <v>434</v>
      </c>
      <c r="H30" s="519" t="s">
        <v>432</v>
      </c>
      <c r="I30" s="519" t="s">
        <v>406</v>
      </c>
      <c r="J30" s="529" t="s">
        <v>433</v>
      </c>
      <c r="K30" s="519" t="s">
        <v>434</v>
      </c>
      <c r="L30" s="519" t="s">
        <v>432</v>
      </c>
      <c r="M30" s="519" t="s">
        <v>406</v>
      </c>
      <c r="N30" s="529" t="s">
        <v>433</v>
      </c>
      <c r="O30" s="519" t="s">
        <v>434</v>
      </c>
      <c r="P30" s="519" t="s">
        <v>432</v>
      </c>
      <c r="Q30" s="519" t="s">
        <v>406</v>
      </c>
      <c r="R30" s="529" t="s">
        <v>433</v>
      </c>
      <c r="S30" s="519" t="s">
        <v>434</v>
      </c>
      <c r="T30" s="519" t="s">
        <v>432</v>
      </c>
      <c r="U30" s="519" t="s">
        <v>406</v>
      </c>
      <c r="V30" s="529" t="s">
        <v>433</v>
      </c>
      <c r="W30" s="519" t="s">
        <v>434</v>
      </c>
    </row>
    <row r="31" spans="1:26">
      <c r="A31" s="19"/>
      <c r="B31" s="520"/>
      <c r="C31" s="520"/>
      <c r="D31" s="520" t="s">
        <v>102</v>
      </c>
      <c r="E31" s="520" t="s">
        <v>103</v>
      </c>
      <c r="F31" s="520" t="s">
        <v>409</v>
      </c>
      <c r="G31" s="520" t="s">
        <v>410</v>
      </c>
      <c r="H31" s="520" t="s">
        <v>411</v>
      </c>
      <c r="I31" s="520" t="s">
        <v>412</v>
      </c>
      <c r="J31" s="520" t="s">
        <v>108</v>
      </c>
      <c r="K31" s="520" t="s">
        <v>413</v>
      </c>
      <c r="L31" s="520" t="s">
        <v>414</v>
      </c>
      <c r="M31" s="520" t="s">
        <v>415</v>
      </c>
      <c r="N31" s="520" t="s">
        <v>415</v>
      </c>
      <c r="O31" s="520" t="s">
        <v>416</v>
      </c>
      <c r="P31" s="520" t="s">
        <v>417</v>
      </c>
      <c r="Q31" s="520" t="s">
        <v>418</v>
      </c>
      <c r="R31" s="520" t="s">
        <v>419</v>
      </c>
      <c r="S31" s="520" t="s">
        <v>420</v>
      </c>
      <c r="T31" s="520" t="s">
        <v>421</v>
      </c>
      <c r="U31" s="520" t="s">
        <v>422</v>
      </c>
      <c r="V31" s="520" t="s">
        <v>423</v>
      </c>
      <c r="W31" s="520" t="s">
        <v>424</v>
      </c>
    </row>
    <row r="32" spans="1:26" s="307" customFormat="1">
      <c r="A32" s="306"/>
      <c r="B32" s="504">
        <v>1</v>
      </c>
      <c r="C32" s="545" t="s">
        <v>425</v>
      </c>
      <c r="D32" s="523">
        <f>279294.87/100000</f>
        <v>2.7929487000000002</v>
      </c>
      <c r="E32" s="523">
        <f>93098.29/100000</f>
        <v>0.93098289999999995</v>
      </c>
      <c r="F32" s="523">
        <v>0</v>
      </c>
      <c r="G32" s="504">
        <f>D32+E32-F32</f>
        <v>3.7239316000000002</v>
      </c>
      <c r="H32" s="531">
        <f>G32</f>
        <v>3.7239316000000002</v>
      </c>
      <c r="I32" s="523">
        <f>93098.29/100000</f>
        <v>0.93098289999999995</v>
      </c>
      <c r="J32" s="523">
        <v>0</v>
      </c>
      <c r="K32" s="504">
        <f>H32+I32-J32</f>
        <v>4.6549145000000003</v>
      </c>
      <c r="L32" s="531">
        <f>K32</f>
        <v>4.6549145000000003</v>
      </c>
      <c r="M32" s="523">
        <f>93098.29/100000</f>
        <v>0.93098289999999995</v>
      </c>
      <c r="N32" s="523">
        <v>0</v>
      </c>
      <c r="O32" s="504">
        <f>L32+M32-N32</f>
        <v>5.5858974000000003</v>
      </c>
      <c r="P32" s="531">
        <f>O32</f>
        <v>5.5858974000000003</v>
      </c>
      <c r="Q32" s="523">
        <f>93098.29/100000</f>
        <v>0.93098289999999995</v>
      </c>
      <c r="R32" s="523">
        <v>0</v>
      </c>
      <c r="S32" s="504">
        <f>Q32+P32-R32</f>
        <v>6.5168803000000004</v>
      </c>
      <c r="T32" s="530">
        <f>S32</f>
        <v>6.5168803000000004</v>
      </c>
      <c r="U32" s="523">
        <f>93098.29/100000</f>
        <v>0.93098289999999995</v>
      </c>
      <c r="V32" s="523">
        <v>0</v>
      </c>
      <c r="W32" s="504">
        <f>T32+U32-V32</f>
        <v>7.4478632000000005</v>
      </c>
    </row>
    <row r="33" spans="1:26" ht="32.25" customHeight="1">
      <c r="A33" s="19"/>
      <c r="B33" s="504">
        <v>2</v>
      </c>
      <c r="C33" s="546" t="s">
        <v>441</v>
      </c>
      <c r="D33" s="523">
        <f>427575.555555556/100000</f>
        <v>4.27575555555556</v>
      </c>
      <c r="E33" s="523">
        <f>213787.777777778/100000</f>
        <v>2.13787777777778</v>
      </c>
      <c r="F33" s="523">
        <v>0</v>
      </c>
      <c r="G33" s="504">
        <f>D33+E33-F33</f>
        <v>6.4136333333333404</v>
      </c>
      <c r="H33" s="531">
        <f>G33</f>
        <v>6.4136333333333404</v>
      </c>
      <c r="I33" s="523">
        <f>213787.777777778/100000</f>
        <v>2.13787777777778</v>
      </c>
      <c r="J33" s="523">
        <v>0</v>
      </c>
      <c r="K33" s="504">
        <f>H33+I33-J33</f>
        <v>8.5515111111111199</v>
      </c>
      <c r="L33" s="531">
        <f>K33</f>
        <v>8.5515111111111199</v>
      </c>
      <c r="M33" s="523">
        <f>213787.777777778/100000</f>
        <v>2.13787777777778</v>
      </c>
      <c r="N33" s="523">
        <v>0</v>
      </c>
      <c r="O33" s="504">
        <f>L33+M33-N33</f>
        <v>10.689388888888899</v>
      </c>
      <c r="P33" s="531">
        <f>O33</f>
        <v>10.689388888888899</v>
      </c>
      <c r="Q33" s="523">
        <f>213787.777777778/100000</f>
        <v>2.13787777777778</v>
      </c>
      <c r="R33" s="523">
        <v>0</v>
      </c>
      <c r="S33" s="531">
        <f>Q33+P33-R33</f>
        <v>12.827266666666679</v>
      </c>
      <c r="T33" s="547">
        <f>S33</f>
        <v>12.827266666666679</v>
      </c>
      <c r="U33" s="523">
        <f>64136.3333333335/100000</f>
        <v>0.64136333333333506</v>
      </c>
      <c r="V33" s="523">
        <v>0</v>
      </c>
      <c r="W33" s="504">
        <f>T33+U33-V33</f>
        <v>13.468630000000013</v>
      </c>
    </row>
    <row r="34" spans="1:26" ht="15" customHeight="1">
      <c r="A34" s="19"/>
      <c r="B34" s="504">
        <v>3</v>
      </c>
      <c r="C34" s="546" t="s">
        <v>427</v>
      </c>
      <c r="D34" s="523">
        <f>1829834.6031746/100000</f>
        <v>18.298346031746</v>
      </c>
      <c r="E34" s="523">
        <f>1829834.6031746/100000</f>
        <v>18.298346031746</v>
      </c>
      <c r="F34" s="523">
        <v>0</v>
      </c>
      <c r="G34" s="504">
        <f>D34+E34-F34</f>
        <v>36.596692063492</v>
      </c>
      <c r="H34" s="531">
        <f>G34</f>
        <v>36.596692063492</v>
      </c>
      <c r="I34" s="523">
        <f>1829834.6031746/100000</f>
        <v>18.298346031746</v>
      </c>
      <c r="J34" s="523">
        <v>0</v>
      </c>
      <c r="K34" s="504">
        <f>H34+I34-J34</f>
        <v>54.895038095238</v>
      </c>
      <c r="L34" s="531">
        <f>K34</f>
        <v>54.895038095238</v>
      </c>
      <c r="M34" s="523">
        <f>1829834.6031746/100000</f>
        <v>18.298346031746</v>
      </c>
      <c r="N34" s="523">
        <v>0</v>
      </c>
      <c r="O34" s="504">
        <f>L34+M34-N34</f>
        <v>73.193384126984</v>
      </c>
      <c r="P34" s="531">
        <f>O34</f>
        <v>73.193384126984</v>
      </c>
      <c r="Q34" s="523">
        <f>1829834.6031746/100000</f>
        <v>18.298346031746</v>
      </c>
      <c r="R34" s="523">
        <v>0</v>
      </c>
      <c r="S34" s="531">
        <f t="shared" ref="S34" si="15">Q34+P34-R34</f>
        <v>91.491730158730007</v>
      </c>
      <c r="T34" s="547">
        <f>S34</f>
        <v>91.491730158730007</v>
      </c>
      <c r="U34" s="523">
        <f>1829834.6031746/100000</f>
        <v>18.298346031746</v>
      </c>
      <c r="V34" s="523">
        <v>0</v>
      </c>
      <c r="W34" s="504">
        <f>T34+U34-V34</f>
        <v>109.79007619047601</v>
      </c>
    </row>
    <row r="35" spans="1:26">
      <c r="A35" s="19"/>
      <c r="B35" s="504">
        <v>4</v>
      </c>
      <c r="C35" s="546" t="s">
        <v>89</v>
      </c>
      <c r="D35" s="523">
        <f>77280.6349206349/100000</f>
        <v>0.77280634920634894</v>
      </c>
      <c r="E35" s="523">
        <f>77280.6349206349/100000</f>
        <v>0.77280634920634894</v>
      </c>
      <c r="F35" s="523">
        <v>0</v>
      </c>
      <c r="G35" s="504">
        <f>D35+E35-F35</f>
        <v>1.5456126984126979</v>
      </c>
      <c r="H35" s="531">
        <f>G35</f>
        <v>1.5456126984126979</v>
      </c>
      <c r="I35" s="523">
        <f>77280.6349206349/100000</f>
        <v>0.77280634920634894</v>
      </c>
      <c r="J35" s="523">
        <v>0</v>
      </c>
      <c r="K35" s="504">
        <f>H35+I35-J35</f>
        <v>2.3184190476190469</v>
      </c>
      <c r="L35" s="531">
        <f>K35</f>
        <v>2.3184190476190469</v>
      </c>
      <c r="M35" s="523">
        <f>77280.6349206349/100000</f>
        <v>0.77280634920634894</v>
      </c>
      <c r="N35" s="523">
        <v>0</v>
      </c>
      <c r="O35" s="504">
        <f>L35+M35-N35</f>
        <v>3.0912253968253958</v>
      </c>
      <c r="P35" s="531">
        <f>O35</f>
        <v>3.0912253968253958</v>
      </c>
      <c r="Q35" s="523">
        <f>77280.6349206349/100000</f>
        <v>0.77280634920634894</v>
      </c>
      <c r="R35" s="523">
        <v>0</v>
      </c>
      <c r="S35" s="531">
        <f t="shared" ref="S35" si="16">Q35+P35-R35</f>
        <v>3.8640317460317446</v>
      </c>
      <c r="T35" s="547">
        <f>S35</f>
        <v>3.8640317460317446</v>
      </c>
      <c r="U35" s="523">
        <f>77280.6349206349/100000</f>
        <v>0.77280634920634894</v>
      </c>
      <c r="V35" s="523">
        <v>0</v>
      </c>
      <c r="W35" s="504">
        <f>T35+U35-V35</f>
        <v>4.6368380952380939</v>
      </c>
    </row>
    <row r="36" spans="1:26">
      <c r="A36" s="19"/>
      <c r="B36" s="504"/>
      <c r="C36" s="522"/>
      <c r="D36" s="548"/>
      <c r="E36" s="548"/>
      <c r="F36" s="548"/>
      <c r="G36" s="504"/>
      <c r="H36" s="504"/>
      <c r="I36" s="548"/>
      <c r="J36" s="548"/>
      <c r="K36" s="504"/>
      <c r="L36" s="504"/>
      <c r="M36" s="548"/>
      <c r="N36" s="548"/>
      <c r="O36" s="504"/>
      <c r="P36" s="504"/>
      <c r="Q36" s="548"/>
      <c r="R36" s="548"/>
      <c r="S36" s="504"/>
      <c r="T36" s="504"/>
      <c r="U36" s="548"/>
      <c r="V36" s="548"/>
      <c r="W36" s="504"/>
    </row>
    <row r="37" spans="1:26">
      <c r="A37" s="19"/>
      <c r="B37" s="504"/>
      <c r="C37" s="522"/>
      <c r="D37" s="504"/>
      <c r="E37" s="504"/>
      <c r="F37" s="504"/>
      <c r="G37" s="504"/>
      <c r="H37" s="504"/>
      <c r="I37" s="504"/>
      <c r="J37" s="504"/>
      <c r="K37" s="504"/>
      <c r="L37" s="504"/>
      <c r="M37" s="504"/>
      <c r="N37" s="504"/>
      <c r="O37" s="504"/>
      <c r="P37" s="504"/>
      <c r="Q37" s="504"/>
      <c r="R37" s="504"/>
      <c r="S37" s="504"/>
      <c r="T37" s="504"/>
      <c r="U37" s="504"/>
      <c r="V37" s="504"/>
      <c r="W37" s="504"/>
    </row>
    <row r="38" spans="1:26">
      <c r="A38" s="19"/>
      <c r="B38" s="523"/>
      <c r="C38" s="524"/>
      <c r="D38" s="504"/>
      <c r="E38" s="504"/>
      <c r="F38" s="504"/>
      <c r="G38" s="504"/>
      <c r="H38" s="504"/>
      <c r="I38" s="504"/>
      <c r="J38" s="504"/>
      <c r="K38" s="504"/>
      <c r="L38" s="504"/>
      <c r="M38" s="505"/>
      <c r="N38" s="505"/>
      <c r="O38" s="504"/>
      <c r="P38" s="504"/>
      <c r="Q38" s="505"/>
      <c r="R38" s="505"/>
      <c r="S38" s="504"/>
      <c r="T38" s="504"/>
      <c r="U38" s="505"/>
      <c r="V38" s="505"/>
      <c r="W38" s="504"/>
    </row>
    <row r="39" spans="1:26" ht="16.899999999999999">
      <c r="A39" s="19"/>
      <c r="B39" s="532"/>
      <c r="C39" s="526" t="s">
        <v>219</v>
      </c>
      <c r="D39" s="484">
        <f>SUM(D32:D38)</f>
        <v>26.139856636507908</v>
      </c>
      <c r="E39" s="484">
        <f t="shared" ref="E39:W39" si="17">SUM(E32:E38)</f>
        <v>22.14001305873013</v>
      </c>
      <c r="F39" s="484">
        <f t="shared" si="17"/>
        <v>0</v>
      </c>
      <c r="G39" s="484">
        <f t="shared" si="17"/>
        <v>48.279869695238034</v>
      </c>
      <c r="H39" s="484">
        <f t="shared" si="17"/>
        <v>48.279869695238034</v>
      </c>
      <c r="I39" s="484">
        <f t="shared" si="17"/>
        <v>22.14001305873013</v>
      </c>
      <c r="J39" s="484">
        <f t="shared" si="17"/>
        <v>0</v>
      </c>
      <c r="K39" s="484">
        <f t="shared" si="17"/>
        <v>70.419882753968167</v>
      </c>
      <c r="L39" s="484">
        <f t="shared" si="17"/>
        <v>70.419882753968167</v>
      </c>
      <c r="M39" s="484">
        <f t="shared" si="17"/>
        <v>22.14001305873013</v>
      </c>
      <c r="N39" s="484">
        <f t="shared" si="17"/>
        <v>0</v>
      </c>
      <c r="O39" s="484">
        <f t="shared" si="17"/>
        <v>92.559895812698301</v>
      </c>
      <c r="P39" s="484">
        <f t="shared" si="17"/>
        <v>92.559895812698301</v>
      </c>
      <c r="Q39" s="484">
        <f t="shared" si="17"/>
        <v>22.14001305873013</v>
      </c>
      <c r="R39" s="484">
        <f t="shared" si="17"/>
        <v>0</v>
      </c>
      <c r="S39" s="484">
        <f t="shared" si="17"/>
        <v>114.69990887142842</v>
      </c>
      <c r="T39" s="484">
        <f t="shared" si="17"/>
        <v>114.69990887142842</v>
      </c>
      <c r="U39" s="484">
        <f t="shared" si="17"/>
        <v>20.643498614285683</v>
      </c>
      <c r="V39" s="484">
        <f t="shared" si="17"/>
        <v>0</v>
      </c>
      <c r="W39" s="484">
        <f t="shared" si="17"/>
        <v>135.34340748571412</v>
      </c>
    </row>
    <row r="40" spans="1:26" ht="16.899999999999999">
      <c r="A40" s="19"/>
      <c r="B40" s="527"/>
      <c r="C40" s="528"/>
      <c r="D40" s="514"/>
      <c r="E40" s="533"/>
      <c r="F40" s="533"/>
      <c r="G40" s="514"/>
      <c r="H40" s="528"/>
      <c r="I40" s="528"/>
      <c r="J40" s="528"/>
      <c r="K40" s="528"/>
      <c r="L40" s="527"/>
      <c r="M40" s="527"/>
      <c r="N40" s="527"/>
      <c r="O40" s="527"/>
      <c r="P40" s="527"/>
      <c r="Q40" s="527"/>
      <c r="R40" s="527"/>
      <c r="S40" s="527"/>
      <c r="T40" s="527"/>
      <c r="U40" s="527"/>
      <c r="V40" s="527"/>
      <c r="W40" s="527"/>
    </row>
    <row r="41" spans="1:26" ht="16.899999999999999">
      <c r="A41" s="19"/>
      <c r="B41" s="534" t="s">
        <v>436</v>
      </c>
      <c r="C41" s="535"/>
      <c r="D41" s="535"/>
      <c r="E41" s="535"/>
      <c r="F41" s="535"/>
      <c r="G41" s="535"/>
      <c r="H41" s="535"/>
      <c r="I41" s="535"/>
      <c r="J41" s="535"/>
      <c r="K41" s="535"/>
      <c r="L41" s="536"/>
      <c r="M41" s="536"/>
      <c r="N41" s="527"/>
      <c r="O41" s="527"/>
      <c r="P41" s="527"/>
      <c r="Q41" s="527"/>
      <c r="R41" s="527"/>
      <c r="S41" s="527"/>
      <c r="T41" s="514"/>
      <c r="U41" s="533"/>
      <c r="V41" s="533"/>
      <c r="W41" s="514"/>
      <c r="X41" s="12"/>
      <c r="Y41" s="12"/>
      <c r="Z41" s="12"/>
    </row>
    <row r="42" spans="1:26" ht="16.899999999999999">
      <c r="A42" s="19"/>
      <c r="B42" s="826" t="s">
        <v>437</v>
      </c>
      <c r="C42" s="826"/>
      <c r="D42" s="826"/>
      <c r="E42" s="826"/>
      <c r="F42" s="826"/>
      <c r="G42" s="826"/>
      <c r="H42" s="826"/>
      <c r="I42" s="826"/>
      <c r="J42" s="826"/>
      <c r="K42" s="826"/>
      <c r="L42" s="536"/>
      <c r="M42" s="536"/>
      <c r="N42" s="527"/>
      <c r="O42" s="527"/>
      <c r="P42" s="527"/>
      <c r="Q42" s="527"/>
      <c r="R42" s="527"/>
      <c r="S42" s="527"/>
      <c r="T42" s="514"/>
      <c r="U42" s="533"/>
      <c r="V42" s="533"/>
      <c r="W42" s="514"/>
      <c r="X42" s="12"/>
      <c r="Y42" s="12"/>
      <c r="Z42" s="12"/>
    </row>
    <row r="43" spans="1:26" ht="16.899999999999999">
      <c r="A43" s="19"/>
      <c r="B43" s="527"/>
      <c r="C43" s="528"/>
      <c r="D43" s="528"/>
      <c r="E43" s="528"/>
      <c r="F43" s="528"/>
      <c r="G43" s="528"/>
      <c r="H43" s="528"/>
      <c r="I43" s="528"/>
      <c r="J43" s="528"/>
      <c r="K43" s="528"/>
      <c r="L43" s="527"/>
      <c r="M43" s="527"/>
      <c r="N43" s="527"/>
      <c r="O43" s="527"/>
      <c r="P43" s="527"/>
      <c r="Q43" s="527"/>
      <c r="R43" s="527"/>
      <c r="S43" s="527"/>
      <c r="T43" s="527"/>
      <c r="U43" s="527"/>
      <c r="V43" s="527"/>
      <c r="W43" s="527"/>
    </row>
    <row r="44" spans="1:26">
      <c r="A44" s="19"/>
      <c r="B44" s="514"/>
      <c r="C44" s="514"/>
      <c r="D44" s="514"/>
      <c r="E44" s="514"/>
      <c r="F44" s="514"/>
      <c r="G44" s="514"/>
      <c r="H44" s="514"/>
      <c r="I44" s="514"/>
      <c r="J44" s="514"/>
      <c r="K44" s="514"/>
      <c r="L44" s="514"/>
      <c r="M44" s="514"/>
      <c r="N44" s="514"/>
      <c r="O44" s="514"/>
      <c r="P44" s="514"/>
      <c r="Q44" s="514"/>
      <c r="R44" s="514"/>
      <c r="S44" s="514"/>
      <c r="T44" s="514"/>
      <c r="U44" s="514"/>
      <c r="V44" s="514"/>
      <c r="W44" s="514"/>
    </row>
    <row r="45" spans="1:26">
      <c r="A45" s="19"/>
      <c r="B45" s="513" t="s">
        <v>438</v>
      </c>
      <c r="C45" s="514"/>
      <c r="D45" s="514"/>
      <c r="E45" s="514"/>
      <c r="F45" s="514"/>
      <c r="G45" s="514"/>
      <c r="H45" s="514"/>
      <c r="I45" s="514"/>
      <c r="J45" s="514"/>
      <c r="K45" s="514"/>
      <c r="L45" s="514"/>
      <c r="M45" s="514"/>
      <c r="N45" s="514"/>
      <c r="O45" s="514"/>
      <c r="P45" s="514"/>
      <c r="Q45" s="514"/>
      <c r="R45" s="514"/>
      <c r="S45" s="514"/>
      <c r="T45" s="514"/>
      <c r="U45" s="514"/>
      <c r="V45" s="514"/>
      <c r="W45" s="514"/>
    </row>
    <row r="46" spans="1:26">
      <c r="A46" s="19"/>
      <c r="B46" s="513"/>
      <c r="C46" s="514"/>
      <c r="D46" s="514"/>
      <c r="E46" s="514"/>
      <c r="F46" s="514"/>
      <c r="G46" s="514"/>
      <c r="H46" s="514"/>
      <c r="I46" s="514"/>
      <c r="J46" s="514"/>
      <c r="K46" s="514"/>
      <c r="L46" s="514"/>
      <c r="M46" s="514"/>
      <c r="N46" s="514"/>
      <c r="O46" s="514"/>
      <c r="P46" s="514"/>
      <c r="Q46" s="514"/>
      <c r="R46" s="514"/>
      <c r="S46" s="514"/>
      <c r="T46" s="514"/>
      <c r="U46" s="514"/>
      <c r="V46" s="514"/>
      <c r="W46" s="514"/>
    </row>
    <row r="47" spans="1:26" ht="16.899999999999999">
      <c r="A47" s="19"/>
      <c r="B47" s="527"/>
      <c r="C47" s="528"/>
      <c r="D47" s="528"/>
      <c r="E47" s="528"/>
      <c r="F47" s="528"/>
      <c r="G47" s="528"/>
      <c r="H47" s="528"/>
      <c r="I47" s="528"/>
      <c r="J47" s="528"/>
      <c r="K47" s="528"/>
      <c r="L47" s="527"/>
      <c r="M47" s="527"/>
      <c r="N47" s="527"/>
      <c r="O47" s="527"/>
      <c r="P47" s="527"/>
      <c r="Q47" s="527"/>
      <c r="R47" s="527"/>
      <c r="S47" s="527"/>
      <c r="T47" s="527"/>
      <c r="U47" s="527"/>
      <c r="V47" s="527"/>
      <c r="W47" s="518" t="s">
        <v>52</v>
      </c>
    </row>
    <row r="48" spans="1:26">
      <c r="A48" s="19"/>
      <c r="B48" s="822" t="s">
        <v>2</v>
      </c>
      <c r="C48" s="822" t="s">
        <v>53</v>
      </c>
      <c r="D48" s="822" t="s">
        <v>56</v>
      </c>
      <c r="E48" s="822"/>
      <c r="F48" s="822"/>
      <c r="G48" s="822"/>
      <c r="H48" s="822" t="s">
        <v>57</v>
      </c>
      <c r="I48" s="822"/>
      <c r="J48" s="822"/>
      <c r="K48" s="822"/>
      <c r="L48" s="822" t="s">
        <v>58</v>
      </c>
      <c r="M48" s="822"/>
      <c r="N48" s="822"/>
      <c r="O48" s="822"/>
      <c r="P48" s="822" t="s">
        <v>59</v>
      </c>
      <c r="Q48" s="822"/>
      <c r="R48" s="822"/>
      <c r="S48" s="822"/>
      <c r="T48" s="822" t="s">
        <v>60</v>
      </c>
      <c r="U48" s="822"/>
      <c r="V48" s="822"/>
      <c r="W48" s="822"/>
    </row>
    <row r="49" spans="1:23">
      <c r="A49" s="19"/>
      <c r="B49" s="822"/>
      <c r="C49" s="822"/>
      <c r="D49" s="823" t="s">
        <v>61</v>
      </c>
      <c r="E49" s="825"/>
      <c r="F49" s="825"/>
      <c r="G49" s="825"/>
      <c r="H49" s="823" t="s">
        <v>61</v>
      </c>
      <c r="I49" s="825"/>
      <c r="J49" s="825"/>
      <c r="K49" s="825"/>
      <c r="L49" s="823" t="s">
        <v>61</v>
      </c>
      <c r="M49" s="825"/>
      <c r="N49" s="825"/>
      <c r="O49" s="825"/>
      <c r="P49" s="823" t="s">
        <v>61</v>
      </c>
      <c r="Q49" s="825"/>
      <c r="R49" s="825"/>
      <c r="S49" s="825"/>
      <c r="T49" s="823" t="s">
        <v>61</v>
      </c>
      <c r="U49" s="825"/>
      <c r="V49" s="825"/>
      <c r="W49" s="825"/>
    </row>
    <row r="50" spans="1:23" ht="14.1" customHeight="1">
      <c r="A50" s="19"/>
      <c r="B50" s="822"/>
      <c r="C50" s="822"/>
      <c r="D50" s="519" t="s">
        <v>405</v>
      </c>
      <c r="E50" s="519" t="s">
        <v>406</v>
      </c>
      <c r="F50" s="529" t="s">
        <v>433</v>
      </c>
      <c r="G50" s="519" t="s">
        <v>408</v>
      </c>
      <c r="H50" s="519" t="s">
        <v>405</v>
      </c>
      <c r="I50" s="519" t="s">
        <v>406</v>
      </c>
      <c r="J50" s="529" t="s">
        <v>433</v>
      </c>
      <c r="K50" s="519" t="s">
        <v>408</v>
      </c>
      <c r="L50" s="519" t="s">
        <v>405</v>
      </c>
      <c r="M50" s="519" t="s">
        <v>406</v>
      </c>
      <c r="N50" s="529" t="s">
        <v>433</v>
      </c>
      <c r="O50" s="519" t="s">
        <v>408</v>
      </c>
      <c r="P50" s="519" t="s">
        <v>405</v>
      </c>
      <c r="Q50" s="519" t="s">
        <v>406</v>
      </c>
      <c r="R50" s="529" t="s">
        <v>433</v>
      </c>
      <c r="S50" s="519" t="s">
        <v>408</v>
      </c>
      <c r="T50" s="519" t="s">
        <v>405</v>
      </c>
      <c r="U50" s="519" t="s">
        <v>406</v>
      </c>
      <c r="V50" s="529" t="s">
        <v>433</v>
      </c>
      <c r="W50" s="519" t="s">
        <v>408</v>
      </c>
    </row>
    <row r="51" spans="1:23">
      <c r="A51" s="19"/>
      <c r="B51" s="520"/>
      <c r="C51" s="520"/>
      <c r="D51" s="520" t="s">
        <v>102</v>
      </c>
      <c r="E51" s="520" t="s">
        <v>103</v>
      </c>
      <c r="F51" s="520" t="s">
        <v>409</v>
      </c>
      <c r="G51" s="520" t="s">
        <v>410</v>
      </c>
      <c r="H51" s="520" t="s">
        <v>411</v>
      </c>
      <c r="I51" s="520" t="s">
        <v>412</v>
      </c>
      <c r="J51" s="520" t="s">
        <v>108</v>
      </c>
      <c r="K51" s="520" t="s">
        <v>413</v>
      </c>
      <c r="L51" s="520" t="s">
        <v>414</v>
      </c>
      <c r="M51" s="520" t="s">
        <v>415</v>
      </c>
      <c r="N51" s="520" t="s">
        <v>415</v>
      </c>
      <c r="O51" s="520" t="s">
        <v>416</v>
      </c>
      <c r="P51" s="520" t="s">
        <v>417</v>
      </c>
      <c r="Q51" s="520" t="s">
        <v>418</v>
      </c>
      <c r="R51" s="520" t="s">
        <v>419</v>
      </c>
      <c r="S51" s="520" t="s">
        <v>420</v>
      </c>
      <c r="T51" s="520" t="s">
        <v>421</v>
      </c>
      <c r="U51" s="520" t="s">
        <v>422</v>
      </c>
      <c r="V51" s="520" t="s">
        <v>423</v>
      </c>
      <c r="W51" s="520" t="s">
        <v>424</v>
      </c>
    </row>
    <row r="52" spans="1:23">
      <c r="A52" s="19"/>
      <c r="B52" s="521">
        <v>1</v>
      </c>
      <c r="C52" s="522" t="s">
        <v>425</v>
      </c>
      <c r="D52" s="523">
        <f>700687.13/100000</f>
        <v>7.0068713000000002</v>
      </c>
      <c r="E52" s="523">
        <v>0</v>
      </c>
      <c r="F52" s="523">
        <f>93098.29/100000</f>
        <v>0.93098289999999995</v>
      </c>
      <c r="G52" s="504">
        <f>D52+E52-F52</f>
        <v>6.0758884000000002</v>
      </c>
      <c r="H52" s="504">
        <f>G52</f>
        <v>6.0758884000000002</v>
      </c>
      <c r="I52" s="523">
        <v>0</v>
      </c>
      <c r="J52" s="523">
        <f>93098.29/100000</f>
        <v>0.93098289999999995</v>
      </c>
      <c r="K52" s="504">
        <f>H52+I52-J52</f>
        <v>5.1449055000000001</v>
      </c>
      <c r="L52" s="504">
        <f>K52</f>
        <v>5.1449055000000001</v>
      </c>
      <c r="M52" s="523">
        <v>0</v>
      </c>
      <c r="N52" s="523">
        <f>93098.29/100000</f>
        <v>0.93098289999999995</v>
      </c>
      <c r="O52" s="504">
        <f>L52+M52-N52</f>
        <v>4.2139226000000001</v>
      </c>
      <c r="P52" s="504">
        <f>O52</f>
        <v>4.2139226000000001</v>
      </c>
      <c r="Q52" s="523">
        <v>0</v>
      </c>
      <c r="R52" s="523">
        <f>93098.29/100000</f>
        <v>0.93098289999999995</v>
      </c>
      <c r="S52" s="504">
        <f>P52+Q52-R52</f>
        <v>3.2829397</v>
      </c>
      <c r="T52" s="504">
        <f>S52</f>
        <v>3.2829397</v>
      </c>
      <c r="U52" s="523">
        <v>0</v>
      </c>
      <c r="V52" s="523">
        <f>93098.29/100000</f>
        <v>0.93098289999999995</v>
      </c>
      <c r="W52" s="504">
        <f>T52+U52-V52</f>
        <v>2.3519568</v>
      </c>
    </row>
    <row r="53" spans="1:23">
      <c r="A53" s="19"/>
      <c r="B53" s="521">
        <v>2</v>
      </c>
      <c r="C53" s="522" t="s">
        <v>441</v>
      </c>
      <c r="D53" s="523">
        <f>919287.444444444/100000</f>
        <v>9.1928744444444401</v>
      </c>
      <c r="E53" s="523">
        <v>0</v>
      </c>
      <c r="F53" s="523">
        <f>213787.777777778/100000</f>
        <v>2.13787777777778</v>
      </c>
      <c r="G53" s="504">
        <f>D53+E53-F53</f>
        <v>7.0549966666666606</v>
      </c>
      <c r="H53" s="504">
        <f>G53</f>
        <v>7.0549966666666606</v>
      </c>
      <c r="I53" s="523">
        <v>0</v>
      </c>
      <c r="J53" s="523">
        <f>213787.777777778/100000</f>
        <v>2.13787777777778</v>
      </c>
      <c r="K53" s="504">
        <f>H53+I53-J53</f>
        <v>4.917118888888881</v>
      </c>
      <c r="L53" s="504">
        <f t="shared" ref="L53:L55" si="18">K53</f>
        <v>4.917118888888881</v>
      </c>
      <c r="M53" s="523">
        <v>0</v>
      </c>
      <c r="N53" s="523">
        <f>213787.777777778/100000</f>
        <v>2.13787777777778</v>
      </c>
      <c r="O53" s="504">
        <f>L53+M53-N53</f>
        <v>2.7792411111111011</v>
      </c>
      <c r="P53" s="504">
        <f t="shared" ref="P53:P55" si="19">O53</f>
        <v>2.7792411111111011</v>
      </c>
      <c r="Q53" s="523">
        <v>0</v>
      </c>
      <c r="R53" s="523">
        <f>213787.777777778/100000</f>
        <v>2.13787777777778</v>
      </c>
      <c r="S53" s="504">
        <f>P53+Q53-R53</f>
        <v>0.64136333333332107</v>
      </c>
      <c r="T53" s="504">
        <f t="shared" ref="T53:T55" si="20">S53</f>
        <v>0.64136333333332107</v>
      </c>
      <c r="U53" s="523">
        <v>0</v>
      </c>
      <c r="V53" s="523">
        <f>64136.3333333335/100000</f>
        <v>0.64136333333333506</v>
      </c>
      <c r="W53" s="504">
        <f>T53+U53-V53</f>
        <v>-1.3988810110276972E-14</v>
      </c>
    </row>
    <row r="54" spans="1:23">
      <c r="A54" s="19"/>
      <c r="B54" s="521">
        <v>3</v>
      </c>
      <c r="C54" s="522" t="s">
        <v>427</v>
      </c>
      <c r="D54" s="523">
        <f>9698123.3968254/100000</f>
        <v>96.981233968253989</v>
      </c>
      <c r="E54" s="523">
        <v>0</v>
      </c>
      <c r="F54" s="523">
        <f>1829834.6031746/100000</f>
        <v>18.298346031746</v>
      </c>
      <c r="G54" s="504">
        <f>D54+E54-F54</f>
        <v>78.682887936507996</v>
      </c>
      <c r="H54" s="504">
        <f>G54</f>
        <v>78.682887936507996</v>
      </c>
      <c r="I54" s="523">
        <v>0</v>
      </c>
      <c r="J54" s="523">
        <f>1829834.6031746/100000</f>
        <v>18.298346031746</v>
      </c>
      <c r="K54" s="504">
        <f t="shared" ref="K54:K55" si="21">H54+I54-J54</f>
        <v>60.384541904761996</v>
      </c>
      <c r="L54" s="504">
        <f t="shared" si="18"/>
        <v>60.384541904761996</v>
      </c>
      <c r="M54" s="523">
        <v>0</v>
      </c>
      <c r="N54" s="523">
        <f>1829834.6031746/100000</f>
        <v>18.298346031746</v>
      </c>
      <c r="O54" s="504">
        <f t="shared" ref="O54:O55" si="22">L54+M54-N54</f>
        <v>42.086195873015996</v>
      </c>
      <c r="P54" s="504">
        <f t="shared" si="19"/>
        <v>42.086195873015996</v>
      </c>
      <c r="Q54" s="523">
        <v>0</v>
      </c>
      <c r="R54" s="523">
        <f>1829834.6031746/100000</f>
        <v>18.298346031746</v>
      </c>
      <c r="S54" s="504">
        <f t="shared" ref="S54:S55" si="23">P54+Q54-R54</f>
        <v>23.787849841269995</v>
      </c>
      <c r="T54" s="504">
        <f t="shared" si="20"/>
        <v>23.787849841269995</v>
      </c>
      <c r="U54" s="523">
        <v>0</v>
      </c>
      <c r="V54" s="523">
        <f>1829834.6031746/100000</f>
        <v>18.298346031746</v>
      </c>
      <c r="W54" s="504">
        <f t="shared" ref="W54:W55" si="24">T54+U54-V54</f>
        <v>5.4895038095239954</v>
      </c>
    </row>
    <row r="55" spans="1:23">
      <c r="A55" s="19"/>
      <c r="B55" s="521">
        <v>4</v>
      </c>
      <c r="C55" s="522" t="s">
        <v>89</v>
      </c>
      <c r="D55" s="523">
        <f>409587.365079365/100000</f>
        <v>4.0958736507936493</v>
      </c>
      <c r="E55" s="523">
        <v>0</v>
      </c>
      <c r="F55" s="523">
        <f>77280.6349206349/100000</f>
        <v>0.77280634920634894</v>
      </c>
      <c r="G55" s="504">
        <f>D55+E55-F55</f>
        <v>3.3230673015873005</v>
      </c>
      <c r="H55" s="504">
        <f>G55</f>
        <v>3.3230673015873005</v>
      </c>
      <c r="I55" s="523">
        <v>0</v>
      </c>
      <c r="J55" s="523">
        <f>77280.6349206349/100000</f>
        <v>0.77280634920634894</v>
      </c>
      <c r="K55" s="504">
        <f t="shared" si="21"/>
        <v>2.5502609523809516</v>
      </c>
      <c r="L55" s="504">
        <f t="shared" si="18"/>
        <v>2.5502609523809516</v>
      </c>
      <c r="M55" s="523">
        <v>0</v>
      </c>
      <c r="N55" s="523">
        <f>77280.6349206349/100000</f>
        <v>0.77280634920634894</v>
      </c>
      <c r="O55" s="504">
        <f t="shared" si="22"/>
        <v>1.7774546031746028</v>
      </c>
      <c r="P55" s="504">
        <f t="shared" si="19"/>
        <v>1.7774546031746028</v>
      </c>
      <c r="Q55" s="523">
        <v>0</v>
      </c>
      <c r="R55" s="523">
        <f>77280.6349206349/100000</f>
        <v>0.77280634920634894</v>
      </c>
      <c r="S55" s="504">
        <f t="shared" si="23"/>
        <v>1.004648253968254</v>
      </c>
      <c r="T55" s="504">
        <f t="shared" si="20"/>
        <v>1.004648253968254</v>
      </c>
      <c r="U55" s="523">
        <v>0</v>
      </c>
      <c r="V55" s="523">
        <f>77280.6349206349/100000</f>
        <v>0.77280634920634894</v>
      </c>
      <c r="W55" s="504">
        <f t="shared" si="24"/>
        <v>0.23184190476190503</v>
      </c>
    </row>
    <row r="56" spans="1:23">
      <c r="A56" s="19"/>
      <c r="B56" s="521"/>
      <c r="C56" s="522"/>
      <c r="D56" s="504"/>
      <c r="E56" s="504"/>
      <c r="F56" s="504"/>
      <c r="G56" s="504"/>
      <c r="H56" s="504"/>
      <c r="I56" s="504"/>
      <c r="J56" s="504"/>
      <c r="K56" s="504"/>
      <c r="L56" s="504"/>
      <c r="M56" s="504"/>
      <c r="N56" s="504"/>
      <c r="O56" s="504"/>
      <c r="P56" s="504"/>
      <c r="Q56" s="504"/>
      <c r="R56" s="504"/>
      <c r="S56" s="504"/>
      <c r="T56" s="504"/>
      <c r="U56" s="504"/>
      <c r="V56" s="504"/>
      <c r="W56" s="504"/>
    </row>
    <row r="57" spans="1:23">
      <c r="A57" s="19"/>
      <c r="B57" s="521"/>
      <c r="C57" s="524"/>
      <c r="D57" s="504"/>
      <c r="E57" s="504"/>
      <c r="F57" s="504"/>
      <c r="G57" s="504"/>
      <c r="H57" s="504"/>
      <c r="I57" s="504"/>
      <c r="J57" s="504"/>
      <c r="K57" s="504"/>
      <c r="L57" s="504"/>
      <c r="M57" s="505"/>
      <c r="N57" s="505"/>
      <c r="O57" s="504"/>
      <c r="P57" s="504"/>
      <c r="Q57" s="505"/>
      <c r="R57" s="505"/>
      <c r="S57" s="504"/>
      <c r="T57" s="504"/>
      <c r="U57" s="505"/>
      <c r="V57" s="505"/>
      <c r="W57" s="504"/>
    </row>
    <row r="58" spans="1:23" ht="16.899999999999999">
      <c r="A58" s="19"/>
      <c r="B58" s="521"/>
      <c r="C58" s="526"/>
      <c r="D58" s="523"/>
      <c r="E58" s="537"/>
      <c r="F58" s="537"/>
      <c r="G58" s="523"/>
      <c r="H58" s="526"/>
      <c r="I58" s="526"/>
      <c r="J58" s="526"/>
      <c r="K58" s="526"/>
      <c r="L58" s="532"/>
      <c r="M58" s="532"/>
      <c r="N58" s="532"/>
      <c r="O58" s="532"/>
      <c r="P58" s="532"/>
      <c r="Q58" s="532"/>
      <c r="R58" s="532"/>
      <c r="S58" s="532"/>
      <c r="T58" s="532"/>
      <c r="U58" s="532"/>
      <c r="V58" s="532"/>
      <c r="W58" s="532"/>
    </row>
    <row r="59" spans="1:23" ht="16.899999999999999">
      <c r="A59" s="19"/>
      <c r="B59" s="538"/>
      <c r="C59" s="539"/>
      <c r="D59" s="539"/>
      <c r="E59" s="539"/>
      <c r="F59" s="539"/>
      <c r="G59" s="539"/>
      <c r="H59" s="538"/>
      <c r="I59" s="538"/>
      <c r="J59" s="538"/>
      <c r="K59" s="538"/>
      <c r="L59" s="538"/>
      <c r="M59" s="538"/>
      <c r="N59" s="538"/>
      <c r="O59" s="538"/>
      <c r="P59" s="538"/>
      <c r="Q59" s="538"/>
      <c r="R59" s="538"/>
      <c r="S59" s="538"/>
      <c r="T59" s="540"/>
      <c r="U59" s="540"/>
      <c r="V59" s="540"/>
      <c r="W59" s="541"/>
    </row>
    <row r="60" spans="1:23" ht="16.899999999999999">
      <c r="A60" s="19"/>
      <c r="B60" s="540"/>
      <c r="C60" s="542" t="s">
        <v>219</v>
      </c>
      <c r="D60" s="542">
        <f>SUM(D52:D59)</f>
        <v>117.27685336349208</v>
      </c>
      <c r="E60" s="542">
        <f t="shared" ref="E60:W60" si="25">SUM(E52:E59)</f>
        <v>0</v>
      </c>
      <c r="F60" s="542">
        <f t="shared" si="25"/>
        <v>22.14001305873013</v>
      </c>
      <c r="G60" s="542">
        <f t="shared" si="25"/>
        <v>95.136840304761961</v>
      </c>
      <c r="H60" s="542">
        <f t="shared" si="25"/>
        <v>95.136840304761961</v>
      </c>
      <c r="I60" s="542">
        <f t="shared" si="25"/>
        <v>0</v>
      </c>
      <c r="J60" s="542">
        <f t="shared" si="25"/>
        <v>22.14001305873013</v>
      </c>
      <c r="K60" s="542">
        <f t="shared" si="25"/>
        <v>72.996827246031827</v>
      </c>
      <c r="L60" s="542">
        <f t="shared" si="25"/>
        <v>72.996827246031827</v>
      </c>
      <c r="M60" s="542">
        <f t="shared" si="25"/>
        <v>0</v>
      </c>
      <c r="N60" s="542">
        <f t="shared" si="25"/>
        <v>22.14001305873013</v>
      </c>
      <c r="O60" s="542">
        <f t="shared" si="25"/>
        <v>50.856814187301701</v>
      </c>
      <c r="P60" s="542">
        <f t="shared" si="25"/>
        <v>50.856814187301701</v>
      </c>
      <c r="Q60" s="542">
        <f t="shared" si="25"/>
        <v>0</v>
      </c>
      <c r="R60" s="542">
        <f t="shared" si="25"/>
        <v>22.14001305873013</v>
      </c>
      <c r="S60" s="542">
        <f t="shared" si="25"/>
        <v>28.716801128571568</v>
      </c>
      <c r="T60" s="542">
        <f t="shared" si="25"/>
        <v>28.716801128571568</v>
      </c>
      <c r="U60" s="542">
        <f t="shared" si="25"/>
        <v>0</v>
      </c>
      <c r="V60" s="542">
        <f t="shared" si="25"/>
        <v>20.643498614285683</v>
      </c>
      <c r="W60" s="542">
        <f t="shared" si="25"/>
        <v>8.0733025142858867</v>
      </c>
    </row>
    <row r="61" spans="1:23" ht="16.899999999999999">
      <c r="T61" s="543"/>
      <c r="U61" s="543"/>
      <c r="V61" s="543"/>
    </row>
    <row r="62" spans="1:23" ht="16.899999999999999">
      <c r="T62" s="543"/>
      <c r="U62" s="543"/>
      <c r="V62" s="543"/>
    </row>
    <row r="63" spans="1:23" ht="16.899999999999999">
      <c r="B63" s="826" t="s">
        <v>430</v>
      </c>
      <c r="C63" s="826"/>
      <c r="D63" s="826"/>
      <c r="E63" s="826"/>
      <c r="F63" s="826"/>
      <c r="G63" s="826"/>
      <c r="H63" s="826"/>
      <c r="I63" s="826"/>
      <c r="J63" s="826"/>
      <c r="K63" s="826"/>
      <c r="T63" s="543"/>
      <c r="U63" s="543"/>
      <c r="V63" s="543"/>
    </row>
    <row r="64" spans="1:23" ht="16.899999999999999">
      <c r="T64" s="543"/>
      <c r="U64" s="543"/>
      <c r="V64" s="543"/>
    </row>
  </sheetData>
  <mergeCells count="39">
    <mergeCell ref="B63:K63"/>
    <mergeCell ref="P48:S48"/>
    <mergeCell ref="T48:W48"/>
    <mergeCell ref="D49:G49"/>
    <mergeCell ref="H49:K49"/>
    <mergeCell ref="L49:O49"/>
    <mergeCell ref="P49:S49"/>
    <mergeCell ref="T49:W49"/>
    <mergeCell ref="L48:O48"/>
    <mergeCell ref="B42:K42"/>
    <mergeCell ref="B48:B50"/>
    <mergeCell ref="C48:C50"/>
    <mergeCell ref="D48:G48"/>
    <mergeCell ref="H48:K48"/>
    <mergeCell ref="P28:S28"/>
    <mergeCell ref="T28:W28"/>
    <mergeCell ref="D29:G29"/>
    <mergeCell ref="H29:K29"/>
    <mergeCell ref="L29:O29"/>
    <mergeCell ref="P29:S29"/>
    <mergeCell ref="T29:W29"/>
    <mergeCell ref="L28:O28"/>
    <mergeCell ref="B23:K23"/>
    <mergeCell ref="B28:B30"/>
    <mergeCell ref="C28:C30"/>
    <mergeCell ref="D28:G28"/>
    <mergeCell ref="H28:K28"/>
    <mergeCell ref="T10:W10"/>
    <mergeCell ref="D11:G11"/>
    <mergeCell ref="H11:K11"/>
    <mergeCell ref="L11:O11"/>
    <mergeCell ref="P11:S11"/>
    <mergeCell ref="T11:W11"/>
    <mergeCell ref="P10:S10"/>
    <mergeCell ref="B10:B12"/>
    <mergeCell ref="C10:C12"/>
    <mergeCell ref="D10:G10"/>
    <mergeCell ref="H10:K10"/>
    <mergeCell ref="L10:O10"/>
  </mergeCells>
  <pageMargins left="0.27559055118110237" right="0.23622047244094491" top="0.23622047244094491" bottom="0.23622047244094491" header="0.23622047244094491" footer="0.23622047244094491"/>
  <pageSetup paperSize="9" scale="33" fitToHeight="3" orientation="landscape" r:id="rId1"/>
  <headerFooter alignWithMargins="0">
    <oddHeader>&amp;F</oddHeader>
  </headerFooter>
  <rowBreaks count="2" manualBreakCount="2">
    <brk id="24" max="23" man="1"/>
    <brk id="43" max="2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59"/>
  <sheetViews>
    <sheetView showGridLines="0" view="pageBreakPreview" zoomScale="71" zoomScaleNormal="68" workbookViewId="0">
      <selection activeCell="F21" sqref="F21"/>
    </sheetView>
  </sheetViews>
  <sheetFormatPr defaultColWidth="9.140625" defaultRowHeight="13.9"/>
  <cols>
    <col min="1" max="1" width="4.140625" style="1" customWidth="1"/>
    <col min="2" max="2" width="6.42578125" style="1" customWidth="1"/>
    <col min="3" max="3" width="36.140625" style="1" customWidth="1"/>
    <col min="4" max="4" width="20.28515625" style="1" customWidth="1"/>
    <col min="5" max="5" width="22.42578125" style="1" customWidth="1"/>
    <col min="6" max="6" width="25" style="1" customWidth="1"/>
    <col min="7" max="7" width="23.85546875" style="1" customWidth="1"/>
    <col min="8" max="8" width="18.5703125" style="1" customWidth="1"/>
    <col min="9" max="9" width="23.42578125" style="1" customWidth="1"/>
    <col min="10" max="27" width="18.5703125" style="1" customWidth="1"/>
    <col min="28" max="16384" width="9.140625" style="1"/>
  </cols>
  <sheetData>
    <row r="1" spans="1:23">
      <c r="B1" s="6"/>
    </row>
    <row r="2" spans="1:23">
      <c r="B2" s="2"/>
      <c r="C2" s="2"/>
      <c r="D2" s="2"/>
      <c r="E2" s="2"/>
      <c r="F2" s="2"/>
      <c r="G2" s="2"/>
      <c r="H2" s="2"/>
      <c r="I2" s="2"/>
      <c r="K2" s="2"/>
      <c r="L2" s="52" t="s">
        <v>0</v>
      </c>
      <c r="M2" s="2"/>
      <c r="O2" s="2"/>
      <c r="P2" s="2"/>
      <c r="Q2" s="2"/>
      <c r="R2" s="2"/>
      <c r="S2" s="2"/>
      <c r="T2" s="2"/>
      <c r="U2" s="15"/>
      <c r="V2" s="15"/>
      <c r="W2" s="15"/>
    </row>
    <row r="3" spans="1:23">
      <c r="B3" s="2"/>
      <c r="C3" s="2"/>
      <c r="D3" s="2"/>
      <c r="E3" s="2"/>
      <c r="F3" s="2"/>
      <c r="G3" s="2"/>
      <c r="H3" s="2"/>
      <c r="I3" s="2"/>
      <c r="K3" s="2"/>
      <c r="L3" s="55" t="s">
        <v>1</v>
      </c>
      <c r="M3" s="2"/>
      <c r="O3" s="2"/>
      <c r="P3" s="2"/>
      <c r="Q3" s="2"/>
      <c r="R3" s="2"/>
      <c r="S3" s="2"/>
      <c r="T3" s="2"/>
      <c r="U3" s="15"/>
      <c r="V3" s="15"/>
      <c r="W3" s="15"/>
    </row>
    <row r="4" spans="1:23">
      <c r="B4" s="15"/>
      <c r="C4" s="2"/>
      <c r="D4" s="2"/>
      <c r="E4" s="2"/>
      <c r="F4" s="2"/>
      <c r="G4" s="2"/>
      <c r="H4" s="2"/>
      <c r="I4" s="2"/>
      <c r="K4" s="2"/>
      <c r="L4" s="52" t="s">
        <v>442</v>
      </c>
      <c r="M4" s="2"/>
      <c r="O4" s="2"/>
      <c r="P4" s="2"/>
      <c r="Q4" s="2"/>
      <c r="R4" s="2"/>
      <c r="S4" s="2"/>
      <c r="T4" s="2"/>
      <c r="U4" s="15"/>
      <c r="V4" s="15"/>
      <c r="W4" s="15"/>
    </row>
    <row r="5" spans="1:23">
      <c r="C5" s="2"/>
      <c r="D5" s="2"/>
      <c r="E5" s="2"/>
      <c r="F5" s="2"/>
      <c r="G5" s="2"/>
      <c r="I5" s="8"/>
      <c r="K5" s="8"/>
      <c r="L5" s="8"/>
    </row>
    <row r="6" spans="1:23">
      <c r="B6" s="6"/>
      <c r="C6" s="6"/>
      <c r="D6" s="6"/>
      <c r="E6" s="6"/>
      <c r="F6" s="6"/>
      <c r="G6" s="6"/>
      <c r="I6" s="8"/>
      <c r="K6" s="8"/>
      <c r="L6" s="8"/>
    </row>
    <row r="7" spans="1:23">
      <c r="A7" s="19" t="s">
        <v>403</v>
      </c>
      <c r="B7" s="155" t="s">
        <v>404</v>
      </c>
      <c r="C7" s="155"/>
      <c r="D7" s="155"/>
      <c r="E7" s="155"/>
      <c r="F7" s="155"/>
      <c r="G7" s="155"/>
      <c r="H7" s="155"/>
      <c r="I7" s="155"/>
      <c r="J7" s="155"/>
      <c r="K7" s="155"/>
      <c r="L7" s="156"/>
      <c r="M7" s="178"/>
      <c r="N7" s="156"/>
      <c r="O7" s="178"/>
      <c r="P7" s="178"/>
      <c r="Q7" s="156"/>
      <c r="R7" s="156"/>
      <c r="T7" s="156"/>
      <c r="U7" s="156"/>
      <c r="V7" s="156"/>
      <c r="W7" s="156"/>
    </row>
    <row r="8" spans="1:23" ht="15.75" customHeight="1">
      <c r="A8" s="19"/>
      <c r="B8" s="208"/>
      <c r="C8" s="179"/>
      <c r="D8" s="179"/>
      <c r="E8" s="179"/>
      <c r="F8" s="179"/>
      <c r="G8" s="179"/>
      <c r="H8" s="179"/>
      <c r="I8" s="179"/>
      <c r="J8" s="179"/>
      <c r="K8" s="179"/>
      <c r="L8" s="156"/>
      <c r="M8" s="178"/>
      <c r="N8" s="156"/>
      <c r="O8" s="178"/>
      <c r="P8" s="178"/>
      <c r="Q8" s="156"/>
      <c r="R8" s="156"/>
      <c r="T8" s="156"/>
      <c r="U8" s="156"/>
      <c r="V8" s="156"/>
      <c r="W8" s="180"/>
    </row>
    <row r="9" spans="1:23" ht="15.75" customHeight="1">
      <c r="A9" s="19"/>
      <c r="B9" s="155"/>
      <c r="C9" s="179"/>
      <c r="D9" s="179"/>
      <c r="E9" s="179"/>
      <c r="F9" s="179"/>
      <c r="G9" s="179"/>
      <c r="H9" s="179"/>
      <c r="I9" s="179"/>
      <c r="J9" s="179"/>
      <c r="K9" s="179"/>
      <c r="L9" s="156"/>
      <c r="M9" s="178"/>
      <c r="N9" s="156"/>
      <c r="O9" s="178"/>
      <c r="P9" s="178"/>
      <c r="Q9" s="156"/>
      <c r="R9" s="156"/>
      <c r="S9" s="156"/>
      <c r="T9" s="156"/>
      <c r="U9" s="156"/>
      <c r="V9" s="156"/>
      <c r="W9" s="180" t="s">
        <v>52</v>
      </c>
    </row>
    <row r="10" spans="1:23" ht="15.75" customHeight="1">
      <c r="A10" s="19"/>
      <c r="B10" s="811" t="s">
        <v>2</v>
      </c>
      <c r="C10" s="811" t="s">
        <v>53</v>
      </c>
      <c r="D10" s="811" t="s">
        <v>56</v>
      </c>
      <c r="E10" s="811"/>
      <c r="F10" s="811"/>
      <c r="G10" s="811"/>
      <c r="H10" s="811" t="s">
        <v>57</v>
      </c>
      <c r="I10" s="811"/>
      <c r="J10" s="811"/>
      <c r="K10" s="811"/>
      <c r="L10" s="811" t="s">
        <v>58</v>
      </c>
      <c r="M10" s="811"/>
      <c r="N10" s="811"/>
      <c r="O10" s="811"/>
      <c r="P10" s="811" t="s">
        <v>59</v>
      </c>
      <c r="Q10" s="811"/>
      <c r="R10" s="811"/>
      <c r="S10" s="811"/>
      <c r="T10" s="811" t="s">
        <v>60</v>
      </c>
      <c r="U10" s="811"/>
      <c r="V10" s="811"/>
      <c r="W10" s="811"/>
    </row>
    <row r="11" spans="1:23">
      <c r="A11" s="19"/>
      <c r="B11" s="811"/>
      <c r="C11" s="811"/>
      <c r="D11" s="815" t="s">
        <v>61</v>
      </c>
      <c r="E11" s="816"/>
      <c r="F11" s="816"/>
      <c r="G11" s="816"/>
      <c r="H11" s="815" t="s">
        <v>61</v>
      </c>
      <c r="I11" s="818"/>
      <c r="J11" s="818"/>
      <c r="K11" s="818"/>
      <c r="L11" s="815" t="s">
        <v>61</v>
      </c>
      <c r="M11" s="818"/>
      <c r="N11" s="818"/>
      <c r="O11" s="818"/>
      <c r="P11" s="815" t="s">
        <v>61</v>
      </c>
      <c r="Q11" s="818"/>
      <c r="R11" s="818"/>
      <c r="S11" s="818"/>
      <c r="T11" s="815" t="s">
        <v>61</v>
      </c>
      <c r="U11" s="818"/>
      <c r="V11" s="818"/>
      <c r="W11" s="818"/>
    </row>
    <row r="12" spans="1:23" s="9" customFormat="1" ht="47.45" customHeight="1">
      <c r="A12" s="19"/>
      <c r="B12" s="811"/>
      <c r="C12" s="811"/>
      <c r="D12" s="168" t="s">
        <v>405</v>
      </c>
      <c r="E12" s="168" t="s">
        <v>406</v>
      </c>
      <c r="F12" s="168" t="s">
        <v>407</v>
      </c>
      <c r="G12" s="168" t="s">
        <v>408</v>
      </c>
      <c r="H12" s="168" t="s">
        <v>405</v>
      </c>
      <c r="I12" s="168" t="s">
        <v>406</v>
      </c>
      <c r="J12" s="168" t="s">
        <v>407</v>
      </c>
      <c r="K12" s="168" t="s">
        <v>408</v>
      </c>
      <c r="L12" s="168" t="s">
        <v>405</v>
      </c>
      <c r="M12" s="168" t="s">
        <v>406</v>
      </c>
      <c r="N12" s="168" t="s">
        <v>407</v>
      </c>
      <c r="O12" s="168" t="s">
        <v>408</v>
      </c>
      <c r="P12" s="168" t="s">
        <v>405</v>
      </c>
      <c r="Q12" s="168" t="s">
        <v>406</v>
      </c>
      <c r="R12" s="168" t="s">
        <v>407</v>
      </c>
      <c r="S12" s="168" t="s">
        <v>408</v>
      </c>
      <c r="T12" s="168" t="s">
        <v>405</v>
      </c>
      <c r="U12" s="168" t="s">
        <v>406</v>
      </c>
      <c r="V12" s="168" t="s">
        <v>407</v>
      </c>
      <c r="W12" s="168" t="s">
        <v>408</v>
      </c>
    </row>
    <row r="13" spans="1:23" s="8" customFormat="1">
      <c r="A13" s="31"/>
      <c r="B13" s="153"/>
      <c r="C13" s="153"/>
      <c r="D13" s="153" t="s">
        <v>102</v>
      </c>
      <c r="E13" s="153" t="s">
        <v>103</v>
      </c>
      <c r="F13" s="153" t="s">
        <v>409</v>
      </c>
      <c r="G13" s="153" t="s">
        <v>410</v>
      </c>
      <c r="H13" s="153" t="s">
        <v>411</v>
      </c>
      <c r="I13" s="153" t="s">
        <v>412</v>
      </c>
      <c r="J13" s="153" t="s">
        <v>108</v>
      </c>
      <c r="K13" s="153" t="s">
        <v>413</v>
      </c>
      <c r="L13" s="153" t="s">
        <v>414</v>
      </c>
      <c r="M13" s="153" t="s">
        <v>415</v>
      </c>
      <c r="N13" s="153" t="s">
        <v>415</v>
      </c>
      <c r="O13" s="153" t="s">
        <v>416</v>
      </c>
      <c r="P13" s="153" t="s">
        <v>417</v>
      </c>
      <c r="Q13" s="153" t="s">
        <v>418</v>
      </c>
      <c r="R13" s="153" t="s">
        <v>419</v>
      </c>
      <c r="S13" s="153" t="s">
        <v>420</v>
      </c>
      <c r="T13" s="153" t="s">
        <v>421</v>
      </c>
      <c r="U13" s="153" t="s">
        <v>422</v>
      </c>
      <c r="V13" s="153" t="s">
        <v>423</v>
      </c>
      <c r="W13" s="153" t="s">
        <v>424</v>
      </c>
    </row>
    <row r="14" spans="1:23">
      <c r="A14" s="19"/>
      <c r="B14" s="209">
        <v>1</v>
      </c>
      <c r="C14" s="210" t="s">
        <v>387</v>
      </c>
      <c r="D14" s="158">
        <v>0</v>
      </c>
      <c r="E14" s="309">
        <f>19976220/100000</f>
        <v>199.76220000000001</v>
      </c>
      <c r="F14" s="158">
        <v>0</v>
      </c>
      <c r="G14" s="309">
        <f>D14+E14+F14</f>
        <v>199.76220000000001</v>
      </c>
      <c r="H14" s="309">
        <f>G14</f>
        <v>199.76220000000001</v>
      </c>
      <c r="I14" s="158">
        <v>0</v>
      </c>
      <c r="J14" s="158">
        <v>0</v>
      </c>
      <c r="K14" s="309">
        <f>H14+I14-J14</f>
        <v>199.76220000000001</v>
      </c>
      <c r="L14" s="309">
        <f>K14</f>
        <v>199.76220000000001</v>
      </c>
      <c r="M14" s="158">
        <v>0</v>
      </c>
      <c r="N14" s="158">
        <v>0</v>
      </c>
      <c r="O14" s="309">
        <f>L14+M14-N14</f>
        <v>199.76220000000001</v>
      </c>
      <c r="P14" s="309">
        <f>O14</f>
        <v>199.76220000000001</v>
      </c>
      <c r="Q14" s="309">
        <v>0</v>
      </c>
      <c r="R14" s="309">
        <v>0</v>
      </c>
      <c r="S14" s="309">
        <f>P14+Q14-R14</f>
        <v>199.76220000000001</v>
      </c>
      <c r="T14" s="309">
        <f>S14</f>
        <v>199.76220000000001</v>
      </c>
      <c r="U14" s="309">
        <v>0</v>
      </c>
      <c r="V14" s="309">
        <v>0</v>
      </c>
      <c r="W14" s="309">
        <f>T14+U14-V14</f>
        <v>199.76220000000001</v>
      </c>
    </row>
    <row r="15" spans="1:23">
      <c r="A15" s="19"/>
      <c r="B15" s="209">
        <v>2</v>
      </c>
      <c r="C15" s="210" t="s">
        <v>388</v>
      </c>
      <c r="D15" s="158">
        <v>0</v>
      </c>
      <c r="E15" s="158">
        <v>0</v>
      </c>
      <c r="F15" s="158">
        <v>0</v>
      </c>
      <c r="G15" s="158">
        <f t="shared" ref="G15:G16" si="0">D15+E15+F15</f>
        <v>0</v>
      </c>
      <c r="H15" s="375">
        <v>0</v>
      </c>
      <c r="I15" s="158">
        <f>3000000/10^5</f>
        <v>30</v>
      </c>
      <c r="J15" s="158">
        <v>0</v>
      </c>
      <c r="K15" s="158">
        <f t="shared" ref="K15:K16" si="1">H15+I15-J15</f>
        <v>30</v>
      </c>
      <c r="L15" s="158">
        <f t="shared" ref="L15" si="2">K15</f>
        <v>30</v>
      </c>
      <c r="M15" s="158">
        <v>0</v>
      </c>
      <c r="N15" s="158">
        <v>0</v>
      </c>
      <c r="O15" s="158">
        <f>L15+M15-N15</f>
        <v>30</v>
      </c>
      <c r="P15" s="158">
        <f t="shared" ref="P15:P16" si="3">O15</f>
        <v>30</v>
      </c>
      <c r="Q15" s="158">
        <v>0</v>
      </c>
      <c r="R15" s="158">
        <v>0</v>
      </c>
      <c r="S15" s="158">
        <f t="shared" ref="S15:S16" si="4">P15+Q15-R15</f>
        <v>30</v>
      </c>
      <c r="T15" s="158">
        <f t="shared" ref="T15:T16" si="5">S15</f>
        <v>30</v>
      </c>
      <c r="U15" s="158">
        <v>0</v>
      </c>
      <c r="V15" s="158">
        <v>0</v>
      </c>
      <c r="W15" s="158">
        <f t="shared" ref="W15:W16" si="6">T15+U15-V15</f>
        <v>30</v>
      </c>
    </row>
    <row r="16" spans="1:23">
      <c r="A16" s="19"/>
      <c r="B16" s="158">
        <v>3</v>
      </c>
      <c r="C16" s="210" t="s">
        <v>435</v>
      </c>
      <c r="D16" s="158">
        <v>0</v>
      </c>
      <c r="E16" s="376">
        <v>0</v>
      </c>
      <c r="F16" s="376">
        <v>0</v>
      </c>
      <c r="G16" s="158">
        <f t="shared" si="0"/>
        <v>0</v>
      </c>
      <c r="H16" s="158">
        <f t="shared" ref="H16" si="7">G16</f>
        <v>0</v>
      </c>
      <c r="I16" s="158">
        <v>0</v>
      </c>
      <c r="J16" s="158">
        <v>0</v>
      </c>
      <c r="K16" s="158">
        <f t="shared" si="1"/>
        <v>0</v>
      </c>
      <c r="L16" s="158">
        <v>0</v>
      </c>
      <c r="M16" s="158">
        <f>4000000/10^5</f>
        <v>40</v>
      </c>
      <c r="N16" s="158">
        <v>0</v>
      </c>
      <c r="O16" s="158">
        <f>L16+M16-N16</f>
        <v>40</v>
      </c>
      <c r="P16" s="158">
        <f t="shared" si="3"/>
        <v>40</v>
      </c>
      <c r="Q16" s="158">
        <v>0</v>
      </c>
      <c r="R16" s="158">
        <v>0</v>
      </c>
      <c r="S16" s="158">
        <f t="shared" si="4"/>
        <v>40</v>
      </c>
      <c r="T16" s="158">
        <f t="shared" si="5"/>
        <v>40</v>
      </c>
      <c r="U16" s="158">
        <v>0</v>
      </c>
      <c r="V16" s="158">
        <v>0</v>
      </c>
      <c r="W16" s="158">
        <f t="shared" si="6"/>
        <v>40</v>
      </c>
    </row>
    <row r="17" spans="1:26">
      <c r="A17" s="19"/>
      <c r="B17" s="158">
        <v>4</v>
      </c>
      <c r="C17" s="210" t="s">
        <v>429</v>
      </c>
      <c r="D17" s="158">
        <v>0</v>
      </c>
      <c r="E17" s="376">
        <v>0</v>
      </c>
      <c r="F17" s="376">
        <v>0</v>
      </c>
      <c r="G17" s="158">
        <v>0</v>
      </c>
      <c r="H17" s="158">
        <v>0</v>
      </c>
      <c r="I17" s="158">
        <v>0</v>
      </c>
      <c r="J17" s="158">
        <v>0</v>
      </c>
      <c r="K17" s="158">
        <v>0</v>
      </c>
      <c r="L17" s="158">
        <v>0</v>
      </c>
      <c r="M17" s="158">
        <v>0</v>
      </c>
      <c r="N17" s="158">
        <v>0</v>
      </c>
      <c r="O17" s="158">
        <v>0</v>
      </c>
      <c r="P17" s="158">
        <v>0</v>
      </c>
      <c r="Q17" s="158">
        <v>90</v>
      </c>
      <c r="R17" s="158">
        <v>0</v>
      </c>
      <c r="S17" s="158">
        <v>90</v>
      </c>
      <c r="T17" s="158">
        <v>90</v>
      </c>
      <c r="U17" s="158">
        <v>0</v>
      </c>
      <c r="V17" s="158">
        <v>0</v>
      </c>
      <c r="W17" s="158">
        <v>90</v>
      </c>
    </row>
    <row r="18" spans="1:26" ht="16.899999999999999">
      <c r="A18" s="19"/>
      <c r="B18" s="212"/>
      <c r="C18" s="182" t="s">
        <v>219</v>
      </c>
      <c r="D18" s="310">
        <f>SUM(D14:D17)</f>
        <v>0</v>
      </c>
      <c r="E18" s="310">
        <f>SUM(E14:E17)</f>
        <v>199.76220000000001</v>
      </c>
      <c r="F18" s="310">
        <f>SUM(F14:F17)</f>
        <v>0</v>
      </c>
      <c r="G18" s="310">
        <f t="shared" ref="G18:P18" si="8">SUM(G14:G16)</f>
        <v>199.76220000000001</v>
      </c>
      <c r="H18" s="310">
        <f t="shared" si="8"/>
        <v>199.76220000000001</v>
      </c>
      <c r="I18" s="310">
        <f t="shared" si="8"/>
        <v>30</v>
      </c>
      <c r="J18" s="310">
        <f>SUM(J14:J17)</f>
        <v>0</v>
      </c>
      <c r="K18" s="310">
        <f t="shared" si="8"/>
        <v>229.76220000000001</v>
      </c>
      <c r="L18" s="310">
        <f t="shared" si="8"/>
        <v>229.76220000000001</v>
      </c>
      <c r="M18" s="310">
        <f t="shared" si="8"/>
        <v>40</v>
      </c>
      <c r="N18" s="310">
        <f>SUM(N14:N17)</f>
        <v>0</v>
      </c>
      <c r="O18" s="310">
        <f t="shared" si="8"/>
        <v>269.76220000000001</v>
      </c>
      <c r="P18" s="310">
        <f t="shared" si="8"/>
        <v>269.76220000000001</v>
      </c>
      <c r="Q18" s="310">
        <f t="shared" ref="Q18:W18" si="9">SUM(Q14:Q17)</f>
        <v>90</v>
      </c>
      <c r="R18" s="310">
        <f t="shared" si="9"/>
        <v>0</v>
      </c>
      <c r="S18" s="310">
        <f t="shared" si="9"/>
        <v>359.76220000000001</v>
      </c>
      <c r="T18" s="310">
        <f t="shared" si="9"/>
        <v>359.76220000000001</v>
      </c>
      <c r="U18" s="310">
        <f t="shared" si="9"/>
        <v>0</v>
      </c>
      <c r="V18" s="310">
        <f t="shared" si="9"/>
        <v>0</v>
      </c>
      <c r="W18" s="310">
        <f t="shared" si="9"/>
        <v>359.76220000000001</v>
      </c>
      <c r="X18" s="12"/>
      <c r="Y18" s="12"/>
      <c r="Z18" s="12"/>
    </row>
    <row r="19" spans="1:26" ht="16.899999999999999">
      <c r="A19" s="19"/>
      <c r="B19" s="183"/>
      <c r="C19" s="183"/>
      <c r="D19" s="179"/>
      <c r="E19" s="179"/>
      <c r="F19" s="179"/>
      <c r="G19" s="179"/>
      <c r="H19" s="183"/>
      <c r="I19" s="183"/>
      <c r="J19" s="183"/>
      <c r="K19" s="183"/>
      <c r="L19" s="183"/>
      <c r="M19" s="183"/>
      <c r="N19" s="183"/>
      <c r="O19" s="183"/>
      <c r="P19" s="183"/>
      <c r="Q19" s="183"/>
      <c r="R19" s="156"/>
      <c r="S19" s="156"/>
      <c r="T19" s="156"/>
      <c r="U19" s="156"/>
      <c r="V19" s="156"/>
      <c r="W19" s="156"/>
      <c r="X19" s="12"/>
      <c r="Y19" s="12"/>
      <c r="Z19" s="12"/>
    </row>
    <row r="20" spans="1:26" ht="16.899999999999999">
      <c r="A20" s="19"/>
      <c r="B20" s="821" t="s">
        <v>430</v>
      </c>
      <c r="C20" s="821"/>
      <c r="D20" s="821"/>
      <c r="E20" s="821"/>
      <c r="F20" s="821"/>
      <c r="G20" s="821"/>
      <c r="H20" s="821"/>
      <c r="I20" s="821"/>
      <c r="J20" s="821"/>
      <c r="K20" s="821"/>
      <c r="L20" s="183"/>
      <c r="M20" s="183"/>
      <c r="N20" s="183"/>
      <c r="O20" s="183"/>
      <c r="P20" s="183"/>
      <c r="Q20" s="183"/>
      <c r="R20" s="156"/>
      <c r="S20" s="156"/>
      <c r="T20" s="156"/>
      <c r="U20" s="156"/>
      <c r="V20" s="156"/>
      <c r="W20" s="156"/>
      <c r="X20" s="12"/>
      <c r="Y20" s="12"/>
      <c r="Z20" s="12"/>
    </row>
    <row r="21" spans="1:26" ht="15.75" customHeight="1">
      <c r="A21" s="19"/>
      <c r="B21" s="156"/>
      <c r="C21" s="156"/>
      <c r="D21" s="156"/>
      <c r="E21" s="156"/>
      <c r="F21" s="156"/>
      <c r="G21" s="156"/>
      <c r="H21" s="156"/>
      <c r="I21" s="156"/>
      <c r="J21" s="156"/>
      <c r="K21" s="156"/>
      <c r="L21" s="156"/>
      <c r="M21" s="156"/>
      <c r="N21" s="156"/>
      <c r="O21" s="156"/>
      <c r="P21" s="156"/>
      <c r="Q21" s="156"/>
      <c r="R21" s="156"/>
      <c r="S21" s="156"/>
      <c r="T21" s="156"/>
      <c r="U21" s="156"/>
      <c r="V21" s="156"/>
      <c r="W21" s="156"/>
    </row>
    <row r="22" spans="1:26" ht="15.75" customHeight="1">
      <c r="A22" s="19"/>
      <c r="B22" s="155" t="s">
        <v>431</v>
      </c>
      <c r="C22" s="156"/>
      <c r="D22" s="156"/>
      <c r="E22" s="156"/>
      <c r="F22" s="156"/>
      <c r="G22" s="156"/>
      <c r="H22" s="156"/>
      <c r="I22" s="156"/>
      <c r="J22" s="156"/>
      <c r="K22" s="156"/>
      <c r="L22" s="156"/>
      <c r="M22" s="156"/>
      <c r="N22" s="156"/>
      <c r="O22" s="156"/>
      <c r="P22" s="156"/>
      <c r="Q22" s="156"/>
      <c r="R22" s="156"/>
      <c r="S22" s="156"/>
      <c r="T22" s="156"/>
      <c r="U22" s="156"/>
      <c r="V22" s="156"/>
      <c r="W22" s="156"/>
    </row>
    <row r="23" spans="1:26">
      <c r="A23" s="19"/>
      <c r="B23" s="155"/>
      <c r="C23" s="156"/>
      <c r="D23" s="156"/>
      <c r="E23" s="156"/>
      <c r="F23" s="156"/>
      <c r="G23" s="156"/>
      <c r="H23" s="156"/>
      <c r="I23" s="156"/>
      <c r="J23" s="156"/>
      <c r="K23" s="156"/>
      <c r="L23" s="156"/>
      <c r="M23" s="156"/>
      <c r="N23" s="156"/>
      <c r="O23" s="156"/>
      <c r="P23" s="156"/>
      <c r="Q23" s="156"/>
      <c r="R23" s="156"/>
      <c r="S23" s="156"/>
      <c r="T23" s="156"/>
      <c r="U23" s="156"/>
      <c r="V23" s="156"/>
      <c r="W23" s="156"/>
    </row>
    <row r="24" spans="1:26" ht="16.899999999999999">
      <c r="A24" s="19"/>
      <c r="B24" s="183"/>
      <c r="C24" s="214"/>
      <c r="D24" s="214"/>
      <c r="E24" s="214"/>
      <c r="F24" s="214"/>
      <c r="G24" s="214"/>
      <c r="H24" s="214"/>
      <c r="I24" s="214"/>
      <c r="J24" s="214"/>
      <c r="K24" s="214"/>
      <c r="L24" s="183"/>
      <c r="M24" s="183"/>
      <c r="N24" s="183"/>
      <c r="O24" s="183"/>
      <c r="P24" s="183"/>
      <c r="Q24" s="183"/>
      <c r="R24" s="183"/>
      <c r="S24" s="180"/>
      <c r="T24" s="183"/>
      <c r="U24" s="183"/>
      <c r="V24" s="183"/>
      <c r="W24" s="180" t="s">
        <v>52</v>
      </c>
    </row>
    <row r="25" spans="1:26" ht="14.1" customHeight="1">
      <c r="A25" s="19"/>
      <c r="B25" s="811" t="s">
        <v>2</v>
      </c>
      <c r="C25" s="811" t="s">
        <v>53</v>
      </c>
      <c r="D25" s="811" t="s">
        <v>56</v>
      </c>
      <c r="E25" s="811"/>
      <c r="F25" s="811"/>
      <c r="G25" s="811"/>
      <c r="H25" s="811" t="s">
        <v>57</v>
      </c>
      <c r="I25" s="811"/>
      <c r="J25" s="811"/>
      <c r="K25" s="811"/>
      <c r="L25" s="811" t="s">
        <v>58</v>
      </c>
      <c r="M25" s="811"/>
      <c r="N25" s="811"/>
      <c r="O25" s="811"/>
      <c r="P25" s="811" t="s">
        <v>59</v>
      </c>
      <c r="Q25" s="811"/>
      <c r="R25" s="811"/>
      <c r="S25" s="811"/>
      <c r="T25" s="811" t="s">
        <v>60</v>
      </c>
      <c r="U25" s="811"/>
      <c r="V25" s="811"/>
      <c r="W25" s="811"/>
    </row>
    <row r="26" spans="1:26">
      <c r="A26" s="19"/>
      <c r="B26" s="811"/>
      <c r="C26" s="811"/>
      <c r="D26" s="815" t="s">
        <v>61</v>
      </c>
      <c r="E26" s="818"/>
      <c r="F26" s="818"/>
      <c r="G26" s="818"/>
      <c r="H26" s="815" t="s">
        <v>61</v>
      </c>
      <c r="I26" s="818"/>
      <c r="J26" s="818"/>
      <c r="K26" s="818"/>
      <c r="L26" s="815" t="s">
        <v>61</v>
      </c>
      <c r="M26" s="818"/>
      <c r="N26" s="818"/>
      <c r="O26" s="818"/>
      <c r="P26" s="815" t="s">
        <v>61</v>
      </c>
      <c r="Q26" s="818"/>
      <c r="R26" s="818"/>
      <c r="S26" s="818"/>
      <c r="T26" s="815" t="s">
        <v>61</v>
      </c>
      <c r="U26" s="818"/>
      <c r="V26" s="818"/>
      <c r="W26" s="818"/>
    </row>
    <row r="27" spans="1:26" ht="65.45" customHeight="1">
      <c r="A27" s="19"/>
      <c r="B27" s="811"/>
      <c r="C27" s="811"/>
      <c r="D27" s="168" t="s">
        <v>432</v>
      </c>
      <c r="E27" s="168" t="s">
        <v>406</v>
      </c>
      <c r="F27" s="169" t="s">
        <v>433</v>
      </c>
      <c r="G27" s="168" t="s">
        <v>434</v>
      </c>
      <c r="H27" s="168" t="s">
        <v>432</v>
      </c>
      <c r="I27" s="168" t="s">
        <v>406</v>
      </c>
      <c r="J27" s="169" t="s">
        <v>433</v>
      </c>
      <c r="K27" s="168" t="s">
        <v>434</v>
      </c>
      <c r="L27" s="168" t="s">
        <v>432</v>
      </c>
      <c r="M27" s="168" t="s">
        <v>406</v>
      </c>
      <c r="N27" s="169" t="s">
        <v>433</v>
      </c>
      <c r="O27" s="168" t="s">
        <v>434</v>
      </c>
      <c r="P27" s="168" t="s">
        <v>432</v>
      </c>
      <c r="Q27" s="168" t="s">
        <v>406</v>
      </c>
      <c r="R27" s="169" t="s">
        <v>433</v>
      </c>
      <c r="S27" s="168" t="s">
        <v>434</v>
      </c>
      <c r="T27" s="168" t="s">
        <v>432</v>
      </c>
      <c r="U27" s="168" t="s">
        <v>406</v>
      </c>
      <c r="V27" s="169" t="s">
        <v>433</v>
      </c>
      <c r="W27" s="168" t="s">
        <v>434</v>
      </c>
    </row>
    <row r="28" spans="1:26">
      <c r="A28" s="19"/>
      <c r="B28" s="153"/>
      <c r="C28" s="153"/>
      <c r="D28" s="153" t="s">
        <v>102</v>
      </c>
      <c r="E28" s="153" t="s">
        <v>103</v>
      </c>
      <c r="F28" s="153" t="s">
        <v>409</v>
      </c>
      <c r="G28" s="153" t="s">
        <v>410</v>
      </c>
      <c r="H28" s="153" t="s">
        <v>411</v>
      </c>
      <c r="I28" s="153" t="s">
        <v>412</v>
      </c>
      <c r="J28" s="153" t="s">
        <v>108</v>
      </c>
      <c r="K28" s="153" t="s">
        <v>413</v>
      </c>
      <c r="L28" s="153" t="s">
        <v>414</v>
      </c>
      <c r="M28" s="153" t="s">
        <v>415</v>
      </c>
      <c r="N28" s="153" t="s">
        <v>415</v>
      </c>
      <c r="O28" s="153" t="s">
        <v>416</v>
      </c>
      <c r="P28" s="153" t="s">
        <v>417</v>
      </c>
      <c r="Q28" s="153" t="s">
        <v>418</v>
      </c>
      <c r="R28" s="153" t="s">
        <v>419</v>
      </c>
      <c r="S28" s="153" t="s">
        <v>420</v>
      </c>
      <c r="T28" s="153" t="s">
        <v>421</v>
      </c>
      <c r="U28" s="153" t="s">
        <v>422</v>
      </c>
      <c r="V28" s="153" t="s">
        <v>423</v>
      </c>
      <c r="W28" s="153" t="s">
        <v>424</v>
      </c>
    </row>
    <row r="29" spans="1:26" hidden="1">
      <c r="A29" s="19"/>
      <c r="B29" s="209"/>
      <c r="C29" s="210"/>
      <c r="D29" s="158"/>
      <c r="E29" s="158"/>
      <c r="F29" s="158"/>
      <c r="G29" s="158"/>
      <c r="H29" s="158"/>
      <c r="I29" s="158"/>
      <c r="J29" s="158"/>
      <c r="K29" s="158"/>
      <c r="L29" s="158"/>
      <c r="M29" s="158"/>
      <c r="N29" s="158"/>
      <c r="O29" s="158"/>
      <c r="P29" s="158"/>
      <c r="Q29" s="158"/>
      <c r="R29" s="158"/>
      <c r="S29" s="158"/>
      <c r="T29" s="158"/>
      <c r="U29" s="158"/>
      <c r="V29" s="158"/>
      <c r="W29" s="158"/>
    </row>
    <row r="30" spans="1:26" hidden="1">
      <c r="A30" s="19"/>
      <c r="B30" s="209"/>
      <c r="C30" s="210"/>
      <c r="D30" s="158"/>
      <c r="E30" s="158"/>
      <c r="F30" s="158"/>
      <c r="G30" s="158"/>
      <c r="H30" s="158"/>
      <c r="I30" s="158"/>
      <c r="J30" s="158"/>
      <c r="K30" s="158"/>
      <c r="L30" s="158"/>
      <c r="M30" s="158"/>
      <c r="N30" s="158"/>
      <c r="O30" s="158"/>
      <c r="P30" s="158"/>
      <c r="Q30" s="158"/>
      <c r="R30" s="158"/>
      <c r="S30" s="158"/>
      <c r="T30" s="158"/>
      <c r="U30" s="158"/>
      <c r="V30" s="158"/>
      <c r="W30" s="158"/>
    </row>
    <row r="31" spans="1:26" hidden="1">
      <c r="A31" s="19"/>
      <c r="B31" s="209"/>
      <c r="C31" s="210"/>
      <c r="D31" s="158"/>
      <c r="E31" s="158"/>
      <c r="F31" s="158"/>
      <c r="G31" s="158"/>
      <c r="H31" s="158"/>
      <c r="I31" s="158"/>
      <c r="J31" s="158"/>
      <c r="K31" s="158"/>
      <c r="L31" s="158"/>
      <c r="M31" s="158"/>
      <c r="N31" s="158"/>
      <c r="O31" s="158"/>
      <c r="P31" s="158"/>
      <c r="Q31" s="158"/>
      <c r="R31" s="158"/>
      <c r="S31" s="379"/>
      <c r="T31" s="158"/>
      <c r="U31" s="158"/>
      <c r="V31" s="158"/>
      <c r="W31" s="158"/>
    </row>
    <row r="32" spans="1:26" hidden="1">
      <c r="A32" s="19"/>
      <c r="B32" s="209"/>
      <c r="C32" s="210"/>
      <c r="D32" s="158"/>
      <c r="E32" s="158"/>
      <c r="F32" s="158"/>
      <c r="G32" s="158"/>
      <c r="H32" s="158"/>
      <c r="I32" s="158"/>
      <c r="J32" s="158"/>
      <c r="K32" s="158"/>
      <c r="L32" s="158"/>
      <c r="M32" s="158"/>
      <c r="N32" s="158"/>
      <c r="O32" s="158"/>
      <c r="P32" s="158"/>
      <c r="Q32" s="158"/>
      <c r="R32" s="158"/>
      <c r="S32" s="158"/>
      <c r="T32" s="158"/>
      <c r="U32" s="158"/>
      <c r="V32" s="158"/>
      <c r="W32" s="158"/>
    </row>
    <row r="33" spans="1:26" ht="15" hidden="1" customHeight="1">
      <c r="A33" s="19"/>
      <c r="B33" s="209"/>
      <c r="C33" s="210"/>
      <c r="D33" s="158"/>
      <c r="E33" s="158"/>
      <c r="F33" s="158"/>
      <c r="G33" s="158"/>
      <c r="H33" s="158"/>
      <c r="I33" s="158"/>
      <c r="J33" s="158"/>
      <c r="K33" s="158"/>
      <c r="L33" s="158"/>
      <c r="M33" s="158"/>
      <c r="N33" s="158"/>
      <c r="O33" s="158"/>
      <c r="P33" s="158"/>
      <c r="Q33" s="158"/>
      <c r="R33" s="158"/>
      <c r="S33" s="321"/>
      <c r="T33" s="158"/>
      <c r="U33" s="158"/>
      <c r="V33" s="158"/>
      <c r="W33" s="158"/>
    </row>
    <row r="34" spans="1:26">
      <c r="A34" s="19"/>
      <c r="B34" s="158">
        <v>1</v>
      </c>
      <c r="C34" s="210" t="s">
        <v>387</v>
      </c>
      <c r="D34" s="158">
        <v>0</v>
      </c>
      <c r="E34" s="309">
        <f>3170828.57142857/100000</f>
        <v>31.708285714285701</v>
      </c>
      <c r="F34" s="158">
        <v>0</v>
      </c>
      <c r="G34" s="309">
        <f>D34+E34-F34</f>
        <v>31.708285714285701</v>
      </c>
      <c r="H34" s="309">
        <f>G34</f>
        <v>31.708285714285701</v>
      </c>
      <c r="I34" s="309">
        <f>3170828.57142857/100000</f>
        <v>31.708285714285701</v>
      </c>
      <c r="J34" s="158">
        <v>0</v>
      </c>
      <c r="K34" s="309">
        <f>H34+I34-J34</f>
        <v>63.416571428571402</v>
      </c>
      <c r="L34" s="309">
        <f>K34</f>
        <v>63.416571428571402</v>
      </c>
      <c r="M34" s="309">
        <f>3170828.57142857/100000</f>
        <v>31.708285714285701</v>
      </c>
      <c r="N34" s="158">
        <v>0</v>
      </c>
      <c r="O34" s="309">
        <f>L34+M34-N34</f>
        <v>95.12485714285711</v>
      </c>
      <c r="P34" s="309">
        <f>O34</f>
        <v>95.12485714285711</v>
      </c>
      <c r="Q34" s="309">
        <f>3170828.57142857/100000</f>
        <v>31.708285714285701</v>
      </c>
      <c r="R34" s="158">
        <v>0</v>
      </c>
      <c r="S34" s="309">
        <f>P34+Q34-R34</f>
        <v>126.8331428571428</v>
      </c>
      <c r="T34" s="309">
        <f>S34</f>
        <v>126.8331428571428</v>
      </c>
      <c r="U34" s="309">
        <f>3170828.57142857/100000</f>
        <v>31.708285714285701</v>
      </c>
      <c r="V34" s="158">
        <v>0</v>
      </c>
      <c r="W34" s="309">
        <f>T34+U34-V34</f>
        <v>158.5414285714285</v>
      </c>
    </row>
    <row r="35" spans="1:26">
      <c r="A35" s="19"/>
      <c r="B35" s="158">
        <v>2</v>
      </c>
      <c r="C35" s="210" t="s">
        <v>388</v>
      </c>
      <c r="D35" s="158">
        <v>0</v>
      </c>
      <c r="E35" s="158">
        <v>0</v>
      </c>
      <c r="F35" s="158">
        <v>0</v>
      </c>
      <c r="G35" s="309">
        <f t="shared" ref="G35:G36" si="10">D35+E35-F35</f>
        <v>0</v>
      </c>
      <c r="H35" s="309">
        <f>G35</f>
        <v>0</v>
      </c>
      <c r="I35" s="309">
        <f>476190.476190476/10^5</f>
        <v>4.7619047619047601</v>
      </c>
      <c r="J35" s="158">
        <v>0</v>
      </c>
      <c r="K35" s="309">
        <f t="shared" ref="K35:K36" si="11">H35+I35-J35</f>
        <v>4.7619047619047601</v>
      </c>
      <c r="L35" s="309">
        <f t="shared" ref="L35:L36" si="12">K35</f>
        <v>4.7619047619047601</v>
      </c>
      <c r="M35" s="309">
        <f>476190.476190476/10^5</f>
        <v>4.7619047619047601</v>
      </c>
      <c r="N35" s="158">
        <v>0</v>
      </c>
      <c r="O35" s="309">
        <f t="shared" ref="O35:O36" si="13">L35+M35-N35</f>
        <v>9.5238095238095202</v>
      </c>
      <c r="P35" s="309">
        <f t="shared" ref="P35:P36" si="14">O35</f>
        <v>9.5238095238095202</v>
      </c>
      <c r="Q35" s="309">
        <f>476190.476190476/10^5</f>
        <v>4.7619047619047601</v>
      </c>
      <c r="R35" s="158">
        <v>0</v>
      </c>
      <c r="S35" s="309">
        <f t="shared" ref="S35:S37" si="15">P35+Q35-R35</f>
        <v>14.285714285714281</v>
      </c>
      <c r="T35" s="309">
        <f t="shared" ref="T35:T37" si="16">S35</f>
        <v>14.285714285714281</v>
      </c>
      <c r="U35" s="309">
        <f>476190.476190476/10^5</f>
        <v>4.7619047619047601</v>
      </c>
      <c r="V35" s="158">
        <v>0</v>
      </c>
      <c r="W35" s="309">
        <f t="shared" ref="W35:W37" si="17">T35+U35-V35</f>
        <v>19.04761904761904</v>
      </c>
    </row>
    <row r="36" spans="1:26">
      <c r="A36" s="19"/>
      <c r="B36" s="158">
        <v>3</v>
      </c>
      <c r="C36" s="210" t="s">
        <v>435</v>
      </c>
      <c r="D36" s="158">
        <v>0</v>
      </c>
      <c r="E36" s="158">
        <v>0</v>
      </c>
      <c r="F36" s="158">
        <v>0</v>
      </c>
      <c r="G36" s="309">
        <f t="shared" si="10"/>
        <v>0</v>
      </c>
      <c r="H36" s="309">
        <f t="shared" ref="H36" si="18">G36</f>
        <v>0</v>
      </c>
      <c r="I36" s="158">
        <v>0</v>
      </c>
      <c r="J36" s="158">
        <v>0</v>
      </c>
      <c r="K36" s="309">
        <f t="shared" si="11"/>
        <v>0</v>
      </c>
      <c r="L36" s="309">
        <f t="shared" si="12"/>
        <v>0</v>
      </c>
      <c r="M36" s="380">
        <f>634920.634920635/10^5</f>
        <v>6.3492063492063506</v>
      </c>
      <c r="N36" s="158">
        <v>0</v>
      </c>
      <c r="O36" s="309">
        <f t="shared" si="13"/>
        <v>6.3492063492063506</v>
      </c>
      <c r="P36" s="309">
        <f t="shared" si="14"/>
        <v>6.3492063492063506</v>
      </c>
      <c r="Q36" s="380">
        <f>634920.634920635/10^5</f>
        <v>6.3492063492063506</v>
      </c>
      <c r="R36" s="158">
        <v>0</v>
      </c>
      <c r="S36" s="309">
        <f t="shared" si="15"/>
        <v>12.698412698412701</v>
      </c>
      <c r="T36" s="309">
        <f t="shared" si="16"/>
        <v>12.698412698412701</v>
      </c>
      <c r="U36" s="380">
        <f>634920.634920635/10^5</f>
        <v>6.3492063492063506</v>
      </c>
      <c r="V36" s="158">
        <v>0</v>
      </c>
      <c r="W36" s="309">
        <f t="shared" si="17"/>
        <v>19.047619047619051</v>
      </c>
    </row>
    <row r="37" spans="1:26">
      <c r="A37" s="19"/>
      <c r="B37" s="158">
        <v>4</v>
      </c>
      <c r="C37" s="210" t="s">
        <v>429</v>
      </c>
      <c r="D37" s="158">
        <v>0</v>
      </c>
      <c r="E37" s="158">
        <v>0</v>
      </c>
      <c r="F37" s="158">
        <v>0</v>
      </c>
      <c r="G37" s="309">
        <v>0</v>
      </c>
      <c r="H37" s="309">
        <v>0</v>
      </c>
      <c r="I37" s="158">
        <v>0</v>
      </c>
      <c r="J37" s="158">
        <v>0</v>
      </c>
      <c r="K37" s="309">
        <v>0</v>
      </c>
      <c r="L37" s="309">
        <v>0</v>
      </c>
      <c r="M37" s="380">
        <v>0</v>
      </c>
      <c r="N37" s="158">
        <v>0</v>
      </c>
      <c r="O37" s="309">
        <v>0</v>
      </c>
      <c r="P37" s="309">
        <v>0</v>
      </c>
      <c r="Q37" s="380">
        <f>1428571.43/100000</f>
        <v>14.285714299999999</v>
      </c>
      <c r="R37" s="158">
        <v>0</v>
      </c>
      <c r="S37" s="309">
        <f t="shared" si="15"/>
        <v>14.285714299999999</v>
      </c>
      <c r="T37" s="309">
        <f t="shared" si="16"/>
        <v>14.285714299999999</v>
      </c>
      <c r="U37" s="380">
        <f>1428571.43/100000</f>
        <v>14.285714299999999</v>
      </c>
      <c r="V37" s="158">
        <v>0</v>
      </c>
      <c r="W37" s="309">
        <f t="shared" si="17"/>
        <v>28.571428599999997</v>
      </c>
    </row>
    <row r="38" spans="1:26" ht="16.899999999999999">
      <c r="A38" s="19"/>
      <c r="B38" s="212"/>
      <c r="C38" s="182" t="s">
        <v>219</v>
      </c>
      <c r="D38" s="158">
        <f>SUM(D34:D37)</f>
        <v>0</v>
      </c>
      <c r="E38" s="544">
        <f>SUM(E34:E36)</f>
        <v>31.708285714285701</v>
      </c>
      <c r="F38" s="158">
        <f>SUM(F34:F37)</f>
        <v>0</v>
      </c>
      <c r="G38" s="309">
        <f>SUM(G34:G36)</f>
        <v>31.708285714285701</v>
      </c>
      <c r="H38" s="309">
        <f>SUM(H34:H36)</f>
        <v>31.708285714285701</v>
      </c>
      <c r="I38" s="309">
        <f>SUM(I34:I36)</f>
        <v>36.47019047619046</v>
      </c>
      <c r="J38" s="158">
        <f>SUM(J34:J37)</f>
        <v>0</v>
      </c>
      <c r="K38" s="309">
        <f>SUM(K34:K36)</f>
        <v>68.178476190476161</v>
      </c>
      <c r="L38" s="309">
        <f>SUM(L34:L36)</f>
        <v>68.178476190476161</v>
      </c>
      <c r="M38" s="309">
        <f>SUM(M34:M36)</f>
        <v>42.819396825396808</v>
      </c>
      <c r="N38" s="158">
        <f>SUM(N34:N37)</f>
        <v>0</v>
      </c>
      <c r="O38" s="309">
        <f>SUM(O34:O36)</f>
        <v>110.99787301587298</v>
      </c>
      <c r="P38" s="309">
        <f>SUM(P34:P36)</f>
        <v>110.99787301587298</v>
      </c>
      <c r="Q38" s="309">
        <f>SUM(Q34:Q37)</f>
        <v>57.105111125396803</v>
      </c>
      <c r="R38" s="158">
        <f>SUM(R34:R37)</f>
        <v>0</v>
      </c>
      <c r="S38" s="309">
        <f>SUM(S34:S37)</f>
        <v>168.10298414126979</v>
      </c>
      <c r="T38" s="309">
        <f>SUM(T34:T37)</f>
        <v>168.10298414126979</v>
      </c>
      <c r="U38" s="309">
        <f>SUM(U34:U37)</f>
        <v>57.105111125396803</v>
      </c>
      <c r="V38" s="309">
        <f t="shared" ref="V38:W38" si="19">SUM(V34:V37)</f>
        <v>0</v>
      </c>
      <c r="W38" s="309">
        <f t="shared" si="19"/>
        <v>225.20809526666659</v>
      </c>
    </row>
    <row r="39" spans="1:26" ht="16.899999999999999">
      <c r="A39" s="19"/>
      <c r="B39" s="183"/>
      <c r="C39" s="214"/>
      <c r="D39" s="156"/>
      <c r="E39" s="215"/>
      <c r="F39" s="215"/>
      <c r="G39" s="156"/>
      <c r="H39" s="214"/>
      <c r="I39" s="214"/>
      <c r="J39" s="214"/>
      <c r="K39" s="214"/>
      <c r="L39" s="183"/>
      <c r="M39" s="183"/>
      <c r="N39" s="183"/>
      <c r="O39" s="183"/>
      <c r="P39" s="183"/>
      <c r="Q39" s="183"/>
      <c r="R39" s="183"/>
      <c r="S39" s="183"/>
      <c r="T39" s="183"/>
      <c r="U39" s="183"/>
      <c r="V39" s="183"/>
      <c r="W39" s="183"/>
    </row>
    <row r="40" spans="1:26" ht="16.899999999999999">
      <c r="A40" s="19"/>
      <c r="B40" s="213" t="s">
        <v>436</v>
      </c>
      <c r="C40" s="216"/>
      <c r="D40" s="216"/>
      <c r="E40" s="216"/>
      <c r="F40" s="216"/>
      <c r="G40" s="216"/>
      <c r="H40" s="216"/>
      <c r="I40" s="216"/>
      <c r="J40" s="216"/>
      <c r="K40" s="216"/>
      <c r="L40" s="217"/>
      <c r="M40" s="217"/>
      <c r="N40" s="183"/>
      <c r="O40" s="183"/>
      <c r="P40" s="183"/>
      <c r="Q40" s="183"/>
      <c r="R40" s="183"/>
      <c r="S40" s="183"/>
      <c r="T40" s="156"/>
      <c r="U40" s="215"/>
      <c r="V40" s="215"/>
      <c r="W40" s="156"/>
      <c r="X40" s="12"/>
      <c r="Y40" s="12"/>
      <c r="Z40" s="12"/>
    </row>
    <row r="41" spans="1:26" ht="16.899999999999999">
      <c r="A41" s="19"/>
      <c r="B41" s="821" t="s">
        <v>437</v>
      </c>
      <c r="C41" s="821"/>
      <c r="D41" s="821"/>
      <c r="E41" s="821"/>
      <c r="F41" s="821"/>
      <c r="G41" s="821"/>
      <c r="H41" s="821"/>
      <c r="I41" s="821"/>
      <c r="J41" s="821"/>
      <c r="K41" s="821"/>
      <c r="L41" s="217"/>
      <c r="M41" s="217"/>
      <c r="N41" s="183"/>
      <c r="O41" s="183"/>
      <c r="P41" s="183"/>
      <c r="Q41" s="183"/>
      <c r="R41" s="183"/>
      <c r="S41" s="183"/>
      <c r="T41" s="156"/>
      <c r="U41" s="215"/>
      <c r="V41" s="215"/>
      <c r="W41" s="156"/>
      <c r="X41" s="12"/>
      <c r="Y41" s="12"/>
      <c r="Z41" s="12"/>
    </row>
    <row r="42" spans="1:26" ht="16.899999999999999">
      <c r="A42" s="19"/>
      <c r="B42" s="183"/>
      <c r="C42" s="214"/>
      <c r="D42" s="214"/>
      <c r="E42" s="214"/>
      <c r="F42" s="214"/>
      <c r="G42" s="214"/>
      <c r="H42" s="214"/>
      <c r="I42" s="214"/>
      <c r="J42" s="214"/>
      <c r="K42" s="214"/>
      <c r="L42" s="183"/>
      <c r="M42" s="183"/>
      <c r="N42" s="183"/>
      <c r="O42" s="183"/>
      <c r="P42" s="183"/>
      <c r="Q42" s="183"/>
      <c r="R42" s="183"/>
      <c r="S42" s="183"/>
      <c r="T42" s="183"/>
      <c r="U42" s="183"/>
      <c r="V42" s="183"/>
      <c r="W42" s="183"/>
    </row>
    <row r="43" spans="1:26">
      <c r="A43" s="19"/>
      <c r="B43" s="156"/>
      <c r="C43" s="156"/>
      <c r="D43" s="156"/>
      <c r="E43" s="156"/>
      <c r="F43" s="156"/>
      <c r="G43" s="156"/>
      <c r="H43" s="156"/>
      <c r="I43" s="156"/>
      <c r="J43" s="156"/>
      <c r="K43" s="156"/>
      <c r="L43" s="156"/>
      <c r="M43" s="156"/>
      <c r="N43" s="156"/>
      <c r="O43" s="156"/>
      <c r="P43" s="156"/>
      <c r="Q43" s="156"/>
      <c r="R43" s="156"/>
      <c r="S43" s="156"/>
      <c r="T43" s="156"/>
      <c r="U43" s="156"/>
      <c r="V43" s="156"/>
      <c r="W43" s="156"/>
    </row>
    <row r="44" spans="1:26">
      <c r="A44" s="19"/>
      <c r="B44" s="155" t="s">
        <v>438</v>
      </c>
      <c r="C44" s="156"/>
      <c r="D44" s="156"/>
      <c r="E44" s="156"/>
      <c r="F44" s="156"/>
      <c r="G44" s="156"/>
      <c r="H44" s="156"/>
      <c r="I44" s="156"/>
      <c r="J44" s="156"/>
      <c r="K44" s="156"/>
      <c r="L44" s="156"/>
      <c r="M44" s="156"/>
      <c r="N44" s="156"/>
      <c r="O44" s="156"/>
      <c r="P44" s="156"/>
      <c r="Q44" s="156"/>
      <c r="R44" s="156"/>
      <c r="S44" s="156"/>
      <c r="T44" s="156"/>
      <c r="U44" s="156"/>
      <c r="V44" s="156"/>
      <c r="W44" s="156"/>
    </row>
    <row r="45" spans="1:26">
      <c r="A45" s="19"/>
      <c r="B45" s="155"/>
      <c r="C45" s="156"/>
      <c r="D45" s="156"/>
      <c r="E45" s="156"/>
      <c r="F45" s="156"/>
      <c r="G45" s="156"/>
      <c r="H45" s="156"/>
      <c r="I45" s="156"/>
      <c r="J45" s="156"/>
      <c r="K45" s="156"/>
      <c r="L45" s="156"/>
      <c r="M45" s="156"/>
      <c r="N45" s="156"/>
      <c r="O45" s="156"/>
      <c r="P45" s="156"/>
      <c r="Q45" s="156"/>
      <c r="R45" s="156"/>
      <c r="S45" s="156"/>
      <c r="T45" s="156"/>
      <c r="U45" s="156"/>
      <c r="V45" s="156"/>
      <c r="W45" s="156"/>
    </row>
    <row r="46" spans="1:26" ht="16.899999999999999">
      <c r="A46" s="19"/>
      <c r="B46" s="183"/>
      <c r="C46" s="214"/>
      <c r="D46" s="214"/>
      <c r="E46" s="214"/>
      <c r="F46" s="214"/>
      <c r="G46" s="214"/>
      <c r="H46" s="214"/>
      <c r="I46" s="214"/>
      <c r="J46" s="214"/>
      <c r="K46" s="214"/>
      <c r="L46" s="183"/>
      <c r="M46" s="183"/>
      <c r="N46" s="183"/>
      <c r="O46" s="183"/>
      <c r="P46" s="183"/>
      <c r="Q46" s="183"/>
      <c r="R46" s="183"/>
      <c r="S46" s="183"/>
      <c r="T46" s="183"/>
      <c r="U46" s="183"/>
      <c r="V46" s="183"/>
      <c r="W46" s="180" t="s">
        <v>52</v>
      </c>
    </row>
    <row r="47" spans="1:26">
      <c r="A47" s="19"/>
      <c r="B47" s="811" t="s">
        <v>2</v>
      </c>
      <c r="C47" s="811" t="s">
        <v>53</v>
      </c>
      <c r="D47" s="811" t="s">
        <v>56</v>
      </c>
      <c r="E47" s="811"/>
      <c r="F47" s="811"/>
      <c r="G47" s="811"/>
      <c r="H47" s="811" t="s">
        <v>57</v>
      </c>
      <c r="I47" s="811"/>
      <c r="J47" s="811"/>
      <c r="K47" s="811"/>
      <c r="L47" s="811" t="s">
        <v>58</v>
      </c>
      <c r="M47" s="811"/>
      <c r="N47" s="811"/>
      <c r="O47" s="811"/>
      <c r="P47" s="811" t="s">
        <v>59</v>
      </c>
      <c r="Q47" s="811"/>
      <c r="R47" s="811"/>
      <c r="S47" s="811"/>
      <c r="T47" s="811" t="s">
        <v>60</v>
      </c>
      <c r="U47" s="811"/>
      <c r="V47" s="811"/>
      <c r="W47" s="811"/>
    </row>
    <row r="48" spans="1:26">
      <c r="A48" s="19"/>
      <c r="B48" s="811"/>
      <c r="C48" s="811"/>
      <c r="D48" s="815" t="s">
        <v>61</v>
      </c>
      <c r="E48" s="818"/>
      <c r="F48" s="818"/>
      <c r="G48" s="818"/>
      <c r="H48" s="815" t="s">
        <v>61</v>
      </c>
      <c r="I48" s="818"/>
      <c r="J48" s="818"/>
      <c r="K48" s="818"/>
      <c r="L48" s="815" t="s">
        <v>61</v>
      </c>
      <c r="M48" s="818"/>
      <c r="N48" s="818"/>
      <c r="O48" s="818"/>
      <c r="P48" s="815" t="s">
        <v>61</v>
      </c>
      <c r="Q48" s="818"/>
      <c r="R48" s="818"/>
      <c r="S48" s="818"/>
      <c r="T48" s="815" t="s">
        <v>61</v>
      </c>
      <c r="U48" s="818"/>
      <c r="V48" s="818"/>
      <c r="W48" s="818"/>
    </row>
    <row r="49" spans="1:23" ht="14.1" customHeight="1">
      <c r="A49" s="19"/>
      <c r="B49" s="811"/>
      <c r="C49" s="811"/>
      <c r="D49" s="168" t="s">
        <v>405</v>
      </c>
      <c r="E49" s="168" t="s">
        <v>406</v>
      </c>
      <c r="F49" s="169" t="s">
        <v>433</v>
      </c>
      <c r="G49" s="168" t="s">
        <v>408</v>
      </c>
      <c r="H49" s="168" t="s">
        <v>405</v>
      </c>
      <c r="I49" s="168" t="s">
        <v>406</v>
      </c>
      <c r="J49" s="169" t="s">
        <v>433</v>
      </c>
      <c r="K49" s="168" t="s">
        <v>408</v>
      </c>
      <c r="L49" s="168" t="s">
        <v>405</v>
      </c>
      <c r="M49" s="168" t="s">
        <v>406</v>
      </c>
      <c r="N49" s="169" t="s">
        <v>433</v>
      </c>
      <c r="O49" s="168" t="s">
        <v>408</v>
      </c>
      <c r="P49" s="168" t="s">
        <v>405</v>
      </c>
      <c r="Q49" s="168" t="s">
        <v>406</v>
      </c>
      <c r="R49" s="169" t="s">
        <v>433</v>
      </c>
      <c r="S49" s="168" t="s">
        <v>408</v>
      </c>
      <c r="T49" s="168" t="s">
        <v>405</v>
      </c>
      <c r="U49" s="168" t="s">
        <v>406</v>
      </c>
      <c r="V49" s="169" t="s">
        <v>433</v>
      </c>
      <c r="W49" s="168" t="s">
        <v>408</v>
      </c>
    </row>
    <row r="50" spans="1:23">
      <c r="A50" s="19"/>
      <c r="B50" s="153"/>
      <c r="C50" s="153"/>
      <c r="D50" s="153" t="s">
        <v>102</v>
      </c>
      <c r="E50" s="153" t="s">
        <v>103</v>
      </c>
      <c r="F50" s="153" t="s">
        <v>409</v>
      </c>
      <c r="G50" s="153" t="s">
        <v>410</v>
      </c>
      <c r="H50" s="153" t="s">
        <v>411</v>
      </c>
      <c r="I50" s="153" t="s">
        <v>412</v>
      </c>
      <c r="J50" s="153" t="s">
        <v>108</v>
      </c>
      <c r="K50" s="153" t="s">
        <v>413</v>
      </c>
      <c r="L50" s="153" t="s">
        <v>414</v>
      </c>
      <c r="M50" s="153" t="s">
        <v>415</v>
      </c>
      <c r="N50" s="153" t="s">
        <v>415</v>
      </c>
      <c r="O50" s="153" t="s">
        <v>416</v>
      </c>
      <c r="P50" s="153" t="s">
        <v>417</v>
      </c>
      <c r="Q50" s="153" t="s">
        <v>418</v>
      </c>
      <c r="R50" s="153" t="s">
        <v>419</v>
      </c>
      <c r="S50" s="153" t="s">
        <v>420</v>
      </c>
      <c r="T50" s="153" t="s">
        <v>421</v>
      </c>
      <c r="U50" s="153" t="s">
        <v>422</v>
      </c>
      <c r="V50" s="153" t="s">
        <v>423</v>
      </c>
      <c r="W50" s="153" t="s">
        <v>424</v>
      </c>
    </row>
    <row r="51" spans="1:23">
      <c r="A51" s="19"/>
      <c r="B51" s="158">
        <v>1</v>
      </c>
      <c r="C51" s="210" t="s">
        <v>443</v>
      </c>
      <c r="D51" s="309">
        <v>0</v>
      </c>
      <c r="E51" s="309">
        <f>19976220/100000</f>
        <v>199.76220000000001</v>
      </c>
      <c r="F51" s="309">
        <f>3170828.57142857/100000</f>
        <v>31.708285714285701</v>
      </c>
      <c r="G51" s="309">
        <f>D51+E51-F51</f>
        <v>168.05391428571431</v>
      </c>
      <c r="H51" s="309">
        <f>G51</f>
        <v>168.05391428571431</v>
      </c>
      <c r="I51" s="158">
        <v>0</v>
      </c>
      <c r="J51" s="309">
        <f>3170828.57142857/100000</f>
        <v>31.708285714285701</v>
      </c>
      <c r="K51" s="309">
        <f>H51+I51-J51</f>
        <v>136.34562857142862</v>
      </c>
      <c r="L51" s="309">
        <f>K51</f>
        <v>136.34562857142862</v>
      </c>
      <c r="M51" s="376">
        <v>0</v>
      </c>
      <c r="N51" s="309">
        <f>3170828.57142857/100000</f>
        <v>31.708285714285701</v>
      </c>
      <c r="O51" s="309">
        <f>L51+M51-N51</f>
        <v>104.63734285714293</v>
      </c>
      <c r="P51" s="309">
        <f>O51</f>
        <v>104.63734285714293</v>
      </c>
      <c r="Q51" s="376">
        <v>0</v>
      </c>
      <c r="R51" s="309">
        <f>3170828.57142857/100000</f>
        <v>31.708285714285701</v>
      </c>
      <c r="S51" s="309">
        <f>P51+Q51-R51</f>
        <v>72.929057142857232</v>
      </c>
      <c r="T51" s="309">
        <f>S51</f>
        <v>72.929057142857232</v>
      </c>
      <c r="U51" s="376">
        <v>0</v>
      </c>
      <c r="V51" s="309">
        <f>3170828.57142857/100000</f>
        <v>31.708285714285701</v>
      </c>
      <c r="W51" s="309">
        <f>T51+U51-V51</f>
        <v>41.220771428571531</v>
      </c>
    </row>
    <row r="52" spans="1:23">
      <c r="A52" s="19"/>
      <c r="B52" s="158">
        <v>2</v>
      </c>
      <c r="C52" s="210" t="s">
        <v>388</v>
      </c>
      <c r="D52" s="158">
        <v>0</v>
      </c>
      <c r="E52" s="376">
        <v>0</v>
      </c>
      <c r="F52" s="309">
        <v>0</v>
      </c>
      <c r="G52" s="309">
        <f t="shared" ref="G52:G53" si="20">D52+E52-F52</f>
        <v>0</v>
      </c>
      <c r="H52" s="309"/>
      <c r="I52" s="158">
        <f>3000000/100000</f>
        <v>30</v>
      </c>
      <c r="J52" s="309">
        <f>476190.476190476/100000</f>
        <v>4.7619047619047601</v>
      </c>
      <c r="K52" s="309">
        <f t="shared" ref="K52:K53" si="21">H52+I52-J52</f>
        <v>25.238095238095241</v>
      </c>
      <c r="L52" s="309">
        <f t="shared" ref="L52" si="22">K52</f>
        <v>25.238095238095241</v>
      </c>
      <c r="M52" s="376">
        <v>0</v>
      </c>
      <c r="N52" s="309">
        <f>476190.476190476/100000</f>
        <v>4.7619047619047601</v>
      </c>
      <c r="O52" s="309">
        <f t="shared" ref="O52:O53" si="23">L52+M52-N52</f>
        <v>20.476190476190482</v>
      </c>
      <c r="P52" s="309">
        <f t="shared" ref="P52:P53" si="24">O52</f>
        <v>20.476190476190482</v>
      </c>
      <c r="Q52" s="380">
        <v>0</v>
      </c>
      <c r="R52" s="309">
        <f>476190.476190476/100000</f>
        <v>4.7619047619047601</v>
      </c>
      <c r="S52" s="309">
        <f t="shared" ref="S52:S54" si="25">P52+Q52-R52</f>
        <v>15.714285714285722</v>
      </c>
      <c r="T52" s="309">
        <f t="shared" ref="T52:T54" si="26">S52</f>
        <v>15.714285714285722</v>
      </c>
      <c r="U52" s="380">
        <v>0</v>
      </c>
      <c r="V52" s="309">
        <f>476190.476190476/100000</f>
        <v>4.7619047619047601</v>
      </c>
      <c r="W52" s="309">
        <f t="shared" ref="W52:W54" si="27">T52+U52-V52</f>
        <v>10.952380952380963</v>
      </c>
    </row>
    <row r="53" spans="1:23">
      <c r="A53" s="19"/>
      <c r="B53" s="158">
        <v>3</v>
      </c>
      <c r="C53" s="210" t="s">
        <v>435</v>
      </c>
      <c r="D53" s="46">
        <v>0</v>
      </c>
      <c r="E53" s="46">
        <v>0</v>
      </c>
      <c r="F53" s="309">
        <v>0</v>
      </c>
      <c r="G53" s="309">
        <f t="shared" si="20"/>
        <v>0</v>
      </c>
      <c r="H53" s="309">
        <f t="shared" ref="H53" si="28">G53</f>
        <v>0</v>
      </c>
      <c r="I53" s="158">
        <v>0</v>
      </c>
      <c r="J53" s="46"/>
      <c r="K53" s="309">
        <f t="shared" si="21"/>
        <v>0</v>
      </c>
      <c r="L53" s="309">
        <v>0</v>
      </c>
      <c r="M53" s="376">
        <f>4000000/100000</f>
        <v>40</v>
      </c>
      <c r="N53" s="378">
        <f>634920.634920635/100000</f>
        <v>6.3492063492063506</v>
      </c>
      <c r="O53" s="309">
        <f t="shared" si="23"/>
        <v>33.650793650793652</v>
      </c>
      <c r="P53" s="309">
        <f t="shared" si="24"/>
        <v>33.650793650793652</v>
      </c>
      <c r="Q53" s="380">
        <v>0</v>
      </c>
      <c r="R53" s="378">
        <f>634920.634920635/100000</f>
        <v>6.3492063492063506</v>
      </c>
      <c r="S53" s="309">
        <f t="shared" si="25"/>
        <v>27.301587301587301</v>
      </c>
      <c r="T53" s="309">
        <f t="shared" si="26"/>
        <v>27.301587301587301</v>
      </c>
      <c r="U53" s="380">
        <v>0</v>
      </c>
      <c r="V53" s="378">
        <f>634920.634920635/100000</f>
        <v>6.3492063492063506</v>
      </c>
      <c r="W53" s="309">
        <f t="shared" si="27"/>
        <v>20.952380952380949</v>
      </c>
    </row>
    <row r="54" spans="1:23">
      <c r="A54" s="19"/>
      <c r="B54" s="158">
        <v>4</v>
      </c>
      <c r="C54" s="210" t="s">
        <v>429</v>
      </c>
      <c r="D54" s="46">
        <v>0</v>
      </c>
      <c r="E54" s="46">
        <v>0</v>
      </c>
      <c r="F54" s="309">
        <v>0</v>
      </c>
      <c r="G54" s="309">
        <v>0</v>
      </c>
      <c r="H54" s="309">
        <v>0</v>
      </c>
      <c r="I54" s="158">
        <v>0</v>
      </c>
      <c r="J54" s="46"/>
      <c r="K54" s="309"/>
      <c r="L54" s="309" t="s">
        <v>444</v>
      </c>
      <c r="M54" s="376"/>
      <c r="N54" s="378"/>
      <c r="O54" s="309"/>
      <c r="P54" s="309">
        <v>0</v>
      </c>
      <c r="Q54" s="380">
        <v>90</v>
      </c>
      <c r="R54" s="378">
        <f>1428571.43/100000</f>
        <v>14.285714299999999</v>
      </c>
      <c r="S54" s="309">
        <f t="shared" si="25"/>
        <v>75.714285700000005</v>
      </c>
      <c r="T54" s="309">
        <f t="shared" si="26"/>
        <v>75.714285700000005</v>
      </c>
      <c r="U54" s="380">
        <v>0</v>
      </c>
      <c r="V54" s="378">
        <f>1428571.43/100000</f>
        <v>14.285714299999999</v>
      </c>
      <c r="W54" s="309">
        <f t="shared" si="27"/>
        <v>61.42857140000001</v>
      </c>
    </row>
    <row r="55" spans="1:23" ht="16.899999999999999">
      <c r="A55" s="19"/>
      <c r="B55" s="36"/>
      <c r="C55" s="37" t="s">
        <v>219</v>
      </c>
      <c r="D55" s="675">
        <f>SUM(D51:D54)</f>
        <v>0</v>
      </c>
      <c r="E55" s="675">
        <f t="shared" ref="E55:W55" si="29">SUM(E51:E54)</f>
        <v>199.76220000000001</v>
      </c>
      <c r="F55" s="675">
        <f t="shared" si="29"/>
        <v>31.708285714285701</v>
      </c>
      <c r="G55" s="675">
        <f t="shared" si="29"/>
        <v>168.05391428571431</v>
      </c>
      <c r="H55" s="675">
        <f t="shared" si="29"/>
        <v>168.05391428571431</v>
      </c>
      <c r="I55" s="675">
        <f t="shared" si="29"/>
        <v>30</v>
      </c>
      <c r="J55" s="675">
        <f t="shared" si="29"/>
        <v>36.47019047619046</v>
      </c>
      <c r="K55" s="675">
        <f t="shared" si="29"/>
        <v>161.58372380952386</v>
      </c>
      <c r="L55" s="675">
        <f t="shared" si="29"/>
        <v>161.58372380952386</v>
      </c>
      <c r="M55" s="675">
        <f t="shared" si="29"/>
        <v>40</v>
      </c>
      <c r="N55" s="675">
        <f t="shared" si="29"/>
        <v>42.819396825396808</v>
      </c>
      <c r="O55" s="675">
        <f t="shared" si="29"/>
        <v>158.76432698412705</v>
      </c>
      <c r="P55" s="675">
        <f t="shared" si="29"/>
        <v>158.76432698412705</v>
      </c>
      <c r="Q55" s="675">
        <f t="shared" si="29"/>
        <v>90</v>
      </c>
      <c r="R55" s="675">
        <f t="shared" si="29"/>
        <v>57.105111125396803</v>
      </c>
      <c r="S55" s="675">
        <f t="shared" si="29"/>
        <v>191.65921585873025</v>
      </c>
      <c r="T55" s="675">
        <f t="shared" si="29"/>
        <v>191.65921585873025</v>
      </c>
      <c r="U55" s="675">
        <f t="shared" si="29"/>
        <v>0</v>
      </c>
      <c r="V55" s="675">
        <f t="shared" si="29"/>
        <v>57.105111125396803</v>
      </c>
      <c r="W55" s="675">
        <f t="shared" si="29"/>
        <v>134.55410473333345</v>
      </c>
    </row>
    <row r="56" spans="1:23" ht="16.899999999999999">
      <c r="T56" s="32"/>
      <c r="U56" s="32"/>
      <c r="V56" s="32"/>
    </row>
    <row r="57" spans="1:23" ht="16.899999999999999">
      <c r="T57" s="32"/>
      <c r="U57" s="32"/>
      <c r="V57" s="32"/>
    </row>
    <row r="58" spans="1:23" ht="16.899999999999999">
      <c r="B58" s="821" t="s">
        <v>430</v>
      </c>
      <c r="C58" s="821"/>
      <c r="D58" s="821"/>
      <c r="E58" s="821"/>
      <c r="F58" s="821"/>
      <c r="G58" s="821"/>
      <c r="H58" s="821"/>
      <c r="I58" s="821"/>
      <c r="J58" s="821"/>
      <c r="K58" s="821"/>
      <c r="T58" s="32"/>
      <c r="U58" s="32"/>
      <c r="V58" s="32"/>
    </row>
    <row r="59" spans="1:23" ht="16.899999999999999">
      <c r="T59" s="32"/>
      <c r="U59" s="32"/>
      <c r="V59" s="32"/>
    </row>
  </sheetData>
  <mergeCells count="39">
    <mergeCell ref="B58:K58"/>
    <mergeCell ref="P47:S47"/>
    <mergeCell ref="T47:W47"/>
    <mergeCell ref="D48:G48"/>
    <mergeCell ref="H48:K48"/>
    <mergeCell ref="L48:O48"/>
    <mergeCell ref="P48:S48"/>
    <mergeCell ref="T48:W48"/>
    <mergeCell ref="L47:O47"/>
    <mergeCell ref="B41:K41"/>
    <mergeCell ref="B47:B49"/>
    <mergeCell ref="C47:C49"/>
    <mergeCell ref="D47:G47"/>
    <mergeCell ref="H47:K47"/>
    <mergeCell ref="P25:S25"/>
    <mergeCell ref="T25:W25"/>
    <mergeCell ref="D26:G26"/>
    <mergeCell ref="H26:K26"/>
    <mergeCell ref="L26:O26"/>
    <mergeCell ref="P26:S26"/>
    <mergeCell ref="T26:W26"/>
    <mergeCell ref="L25:O25"/>
    <mergeCell ref="B20:K20"/>
    <mergeCell ref="B25:B27"/>
    <mergeCell ref="C25:C27"/>
    <mergeCell ref="D25:G25"/>
    <mergeCell ref="H25:K25"/>
    <mergeCell ref="T10:W10"/>
    <mergeCell ref="D11:G11"/>
    <mergeCell ref="H11:K11"/>
    <mergeCell ref="L11:O11"/>
    <mergeCell ref="P11:S11"/>
    <mergeCell ref="T11:W11"/>
    <mergeCell ref="P10:S10"/>
    <mergeCell ref="B10:B12"/>
    <mergeCell ref="C10:C12"/>
    <mergeCell ref="D10:G10"/>
    <mergeCell ref="H10:K10"/>
    <mergeCell ref="L10:O10"/>
  </mergeCells>
  <pageMargins left="0.27559055118110237" right="0.23622047244094491" top="0.23622047244094491" bottom="0.23622047244094491" header="0.23622047244094491" footer="0.23622047244094491"/>
  <pageSetup paperSize="9" scale="33" fitToHeight="3" orientation="landscape" r:id="rId1"/>
  <headerFooter alignWithMargins="0">
    <oddHeader>&amp;F</oddHeader>
  </headerFooter>
  <rowBreaks count="2" manualBreakCount="2">
    <brk id="21" max="23" man="1"/>
    <brk id="42" max="2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Q116"/>
  <sheetViews>
    <sheetView showGridLines="0" view="pageBreakPreview" topLeftCell="C8" zoomScale="95" zoomScaleNormal="75" zoomScaleSheetLayoutView="90" workbookViewId="0">
      <selection activeCell="F21" sqref="F21"/>
    </sheetView>
  </sheetViews>
  <sheetFormatPr defaultColWidth="9.140625" defaultRowHeight="13.9"/>
  <cols>
    <col min="1" max="1" width="6.85546875" style="73" customWidth="1"/>
    <col min="2" max="2" width="7" style="73" customWidth="1"/>
    <col min="3" max="3" width="96.5703125" style="73" customWidth="1"/>
    <col min="4" max="4" width="15" style="73" customWidth="1"/>
    <col min="5" max="8" width="16.5703125" style="73" customWidth="1"/>
    <col min="9" max="11" width="18.5703125" style="73" customWidth="1"/>
    <col min="12" max="16384" width="9.140625" style="73"/>
  </cols>
  <sheetData>
    <row r="2" spans="2:17">
      <c r="C2" s="156"/>
      <c r="E2" s="644" t="s">
        <v>0</v>
      </c>
      <c r="F2" s="645"/>
      <c r="G2" s="156"/>
      <c r="H2" s="156"/>
    </row>
    <row r="3" spans="2:17" s="156" customFormat="1">
      <c r="E3" s="646" t="s">
        <v>1</v>
      </c>
      <c r="F3" s="647"/>
    </row>
    <row r="4" spans="2:17" s="156" customFormat="1">
      <c r="E4" s="230" t="s">
        <v>445</v>
      </c>
      <c r="F4" s="647"/>
    </row>
    <row r="5" spans="2:17" s="156" customFormat="1">
      <c r="C5" s="179"/>
      <c r="D5" s="647"/>
      <c r="E5" s="647"/>
      <c r="F5" s="647"/>
      <c r="G5" s="647"/>
      <c r="H5" s="647"/>
    </row>
    <row r="6" spans="2:17" s="156" customFormat="1">
      <c r="B6" s="648"/>
      <c r="C6" s="649" t="s">
        <v>446</v>
      </c>
      <c r="D6" s="650"/>
      <c r="E6" s="647"/>
      <c r="F6" s="647"/>
      <c r="G6" s="647"/>
      <c r="H6" s="647"/>
      <c r="I6" s="647"/>
      <c r="J6" s="647"/>
      <c r="K6" s="647"/>
    </row>
    <row r="7" spans="2:17" s="156" customFormat="1">
      <c r="B7" s="648"/>
      <c r="C7" s="179"/>
      <c r="D7" s="650"/>
      <c r="E7" s="647"/>
      <c r="F7" s="647"/>
      <c r="G7" s="647"/>
      <c r="H7" s="647"/>
      <c r="I7" s="72" t="s">
        <v>52</v>
      </c>
      <c r="J7" s="647"/>
      <c r="K7" s="647"/>
    </row>
    <row r="8" spans="2:17" ht="15" customHeight="1">
      <c r="B8" s="748" t="s">
        <v>447</v>
      </c>
      <c r="C8" s="748" t="s">
        <v>448</v>
      </c>
      <c r="D8" s="827" t="s">
        <v>449</v>
      </c>
      <c r="E8" s="828"/>
      <c r="F8" s="828"/>
      <c r="G8" s="828"/>
      <c r="H8" s="829"/>
      <c r="I8" s="788" t="s">
        <v>55</v>
      </c>
      <c r="J8" s="651"/>
      <c r="K8" s="651"/>
      <c r="L8" s="651"/>
    </row>
    <row r="9" spans="2:17" ht="45.6" customHeight="1">
      <c r="B9" s="748"/>
      <c r="C9" s="748"/>
      <c r="D9" s="153" t="s">
        <v>56</v>
      </c>
      <c r="E9" s="153" t="s">
        <v>57</v>
      </c>
      <c r="F9" s="153" t="s">
        <v>58</v>
      </c>
      <c r="G9" s="153" t="s">
        <v>59</v>
      </c>
      <c r="H9" s="153" t="s">
        <v>60</v>
      </c>
      <c r="I9" s="830"/>
      <c r="J9" s="213"/>
      <c r="K9" s="213"/>
      <c r="L9" s="213"/>
    </row>
    <row r="10" spans="2:17">
      <c r="B10" s="153"/>
      <c r="C10" s="153"/>
      <c r="D10" s="153" t="s">
        <v>61</v>
      </c>
      <c r="E10" s="153" t="s">
        <v>61</v>
      </c>
      <c r="F10" s="153" t="s">
        <v>61</v>
      </c>
      <c r="G10" s="153" t="s">
        <v>61</v>
      </c>
      <c r="H10" s="153" t="s">
        <v>61</v>
      </c>
      <c r="I10" s="642"/>
      <c r="J10" s="213"/>
      <c r="K10" s="213"/>
      <c r="L10" s="213"/>
    </row>
    <row r="11" spans="2:17">
      <c r="B11" s="172">
        <v>1</v>
      </c>
      <c r="C11" s="652" t="s">
        <v>450</v>
      </c>
      <c r="D11" s="653">
        <v>0</v>
      </c>
      <c r="E11" s="653">
        <f>D18</f>
        <v>139.83354</v>
      </c>
      <c r="F11" s="653">
        <f t="shared" ref="F11:G11" si="0">E18</f>
        <v>160.83354</v>
      </c>
      <c r="G11" s="653">
        <f t="shared" si="0"/>
        <v>188.83354</v>
      </c>
      <c r="H11" s="653">
        <f>G18</f>
        <v>251.83354</v>
      </c>
      <c r="I11" s="336"/>
      <c r="J11" s="213"/>
      <c r="K11" s="213"/>
      <c r="L11" s="213"/>
    </row>
    <row r="12" spans="2:17">
      <c r="B12" s="172">
        <f>B11+1</f>
        <v>2</v>
      </c>
      <c r="C12" s="652" t="s">
        <v>451</v>
      </c>
      <c r="D12" s="653">
        <v>0</v>
      </c>
      <c r="E12" s="653">
        <f>'F1 '!E11</f>
        <v>53.848298773015827</v>
      </c>
      <c r="F12" s="653">
        <f>E12+'F1 '!F11</f>
        <v>112.45850230793641</v>
      </c>
      <c r="G12" s="653">
        <f>F12+'F1 '!G11</f>
        <v>177.41791219206334</v>
      </c>
      <c r="H12" s="653">
        <f>G12+'F1 '!H11</f>
        <v>256.66303637619029</v>
      </c>
      <c r="I12" s="124"/>
      <c r="J12" s="213"/>
      <c r="K12" s="213"/>
      <c r="L12" s="213"/>
    </row>
    <row r="13" spans="2:17">
      <c r="B13" s="172">
        <f t="shared" ref="B13:B18" si="1">B12+1</f>
        <v>3</v>
      </c>
      <c r="C13" s="652" t="s">
        <v>452</v>
      </c>
      <c r="D13" s="653">
        <v>0</v>
      </c>
      <c r="E13" s="653">
        <f>E11-E12</f>
        <v>85.985241226984172</v>
      </c>
      <c r="F13" s="653">
        <f t="shared" ref="F13:G13" si="2">F11-F12</f>
        <v>48.375037692063586</v>
      </c>
      <c r="G13" s="653">
        <f t="shared" si="2"/>
        <v>11.415627807936659</v>
      </c>
      <c r="H13" s="653">
        <f>G17</f>
        <v>0</v>
      </c>
      <c r="I13" s="124"/>
      <c r="J13" s="672"/>
      <c r="K13" s="672"/>
      <c r="L13" s="672"/>
      <c r="M13" s="672"/>
      <c r="N13" s="672"/>
      <c r="O13" s="672"/>
      <c r="P13" s="672"/>
      <c r="Q13" s="672"/>
    </row>
    <row r="14" spans="2:17">
      <c r="B14" s="172">
        <f t="shared" si="1"/>
        <v>4</v>
      </c>
      <c r="C14" s="652" t="s">
        <v>453</v>
      </c>
      <c r="D14" s="653">
        <v>0</v>
      </c>
      <c r="E14" s="653">
        <v>0</v>
      </c>
      <c r="F14" s="653">
        <v>0</v>
      </c>
      <c r="G14" s="653">
        <v>0</v>
      </c>
      <c r="H14" s="653">
        <v>0</v>
      </c>
      <c r="I14" s="124"/>
      <c r="J14" s="213"/>
      <c r="K14" s="213"/>
      <c r="L14" s="213"/>
    </row>
    <row r="15" spans="2:17">
      <c r="B15" s="172">
        <f t="shared" si="1"/>
        <v>5</v>
      </c>
      <c r="C15" s="652" t="s">
        <v>454</v>
      </c>
      <c r="D15" s="653">
        <f>'F3'!D10*70%</f>
        <v>139.83354</v>
      </c>
      <c r="E15" s="653">
        <f>'F3'!E10*70%</f>
        <v>21</v>
      </c>
      <c r="F15" s="653">
        <f>'F3'!F10*70%</f>
        <v>28</v>
      </c>
      <c r="G15" s="653">
        <f>'F3'!G10*70%</f>
        <v>62.999999999999993</v>
      </c>
      <c r="H15" s="653">
        <f>'F3'!H10*70%</f>
        <v>0</v>
      </c>
      <c r="I15" s="124"/>
      <c r="J15" s="213"/>
      <c r="K15" s="213"/>
      <c r="L15" s="213"/>
    </row>
    <row r="16" spans="2:17">
      <c r="B16" s="172">
        <f t="shared" si="1"/>
        <v>6</v>
      </c>
      <c r="C16" s="652" t="s">
        <v>455</v>
      </c>
      <c r="D16" s="653">
        <f>'F1 '!E11</f>
        <v>53.848298773015827</v>
      </c>
      <c r="E16" s="653">
        <f>'F1 '!F11</f>
        <v>58.610203534920586</v>
      </c>
      <c r="F16" s="653">
        <f>'F1 '!G11</f>
        <v>64.959409884126941</v>
      </c>
      <c r="G16" s="678">
        <f>G15+G13</f>
        <v>74.415627807936659</v>
      </c>
      <c r="H16" s="653" t="s">
        <v>65</v>
      </c>
      <c r="I16" s="124"/>
      <c r="J16" s="213"/>
      <c r="K16" s="672">
        <f>D15-D16</f>
        <v>85.985241226984172</v>
      </c>
      <c r="L16" s="213"/>
    </row>
    <row r="17" spans="2:12">
      <c r="B17" s="172">
        <f t="shared" si="1"/>
        <v>7</v>
      </c>
      <c r="C17" s="652" t="s">
        <v>456</v>
      </c>
      <c r="D17" s="653">
        <f>D13-D14+D15-D16</f>
        <v>85.985241226984172</v>
      </c>
      <c r="E17" s="653">
        <f>E13-E14+E15-E16</f>
        <v>48.375037692063586</v>
      </c>
      <c r="F17" s="653">
        <f t="shared" ref="F17" si="3">F13-F14+F15-F16</f>
        <v>11.415627807936644</v>
      </c>
      <c r="G17" s="653">
        <f>G13-G14+G15-G16</f>
        <v>0</v>
      </c>
      <c r="H17" s="653">
        <v>0</v>
      </c>
      <c r="I17" s="124"/>
      <c r="J17" s="213"/>
      <c r="K17" s="213"/>
      <c r="L17" s="213"/>
    </row>
    <row r="18" spans="2:12">
      <c r="B18" s="172">
        <f t="shared" si="1"/>
        <v>8</v>
      </c>
      <c r="C18" s="652" t="s">
        <v>457</v>
      </c>
      <c r="D18" s="653">
        <f>D15</f>
        <v>139.83354</v>
      </c>
      <c r="E18" s="653">
        <f>E11+E15</f>
        <v>160.83354</v>
      </c>
      <c r="F18" s="653">
        <f>F11+F15</f>
        <v>188.83354</v>
      </c>
      <c r="G18" s="653">
        <f>G11+G15</f>
        <v>251.83354</v>
      </c>
      <c r="H18" s="653">
        <f>H11+H15</f>
        <v>251.83354</v>
      </c>
      <c r="I18" s="124"/>
      <c r="J18" s="213"/>
      <c r="K18" s="213"/>
      <c r="L18" s="213"/>
    </row>
    <row r="19" spans="2:12">
      <c r="B19" s="172">
        <v>9</v>
      </c>
      <c r="C19" s="652" t="s">
        <v>458</v>
      </c>
      <c r="D19" s="653">
        <f>(D13+D17)/2</f>
        <v>42.992620613492086</v>
      </c>
      <c r="E19" s="653">
        <f>(E13+E17)/2</f>
        <v>67.180139459523872</v>
      </c>
      <c r="F19" s="653">
        <f t="shared" ref="F19:G19" si="4">(F13+F17)/2</f>
        <v>29.895332750000115</v>
      </c>
      <c r="G19" s="653">
        <f t="shared" si="4"/>
        <v>5.7078139039683293</v>
      </c>
      <c r="H19" s="653">
        <f>(H13+H17)/2</f>
        <v>0</v>
      </c>
      <c r="I19" s="124"/>
      <c r="J19" s="213"/>
      <c r="K19" s="213"/>
      <c r="L19" s="213"/>
    </row>
    <row r="20" spans="2:12" ht="14.45">
      <c r="B20" s="172">
        <v>10</v>
      </c>
      <c r="C20" s="132" t="s">
        <v>459</v>
      </c>
      <c r="D20" s="654">
        <v>9.3600000000000003E-2</v>
      </c>
      <c r="E20" s="654">
        <v>9.3600000000000003E-2</v>
      </c>
      <c r="F20" s="654">
        <v>9.3600000000000003E-2</v>
      </c>
      <c r="G20" s="654">
        <v>9.3600000000000003E-2</v>
      </c>
      <c r="H20" s="654">
        <v>9.3600000000000003E-2</v>
      </c>
      <c r="I20" s="124"/>
      <c r="J20" s="213"/>
      <c r="K20" s="213"/>
      <c r="L20" s="213"/>
    </row>
    <row r="21" spans="2:12" ht="14.45">
      <c r="B21" s="172">
        <v>11</v>
      </c>
      <c r="C21" s="132" t="s">
        <v>460</v>
      </c>
      <c r="D21" s="653">
        <f>D20*D19</f>
        <v>4.0241092894228592</v>
      </c>
      <c r="E21" s="653">
        <f t="shared" ref="E21:G21" si="5">E20*E19</f>
        <v>6.2880610534114343</v>
      </c>
      <c r="F21" s="653">
        <f t="shared" si="5"/>
        <v>2.7982031454000107</v>
      </c>
      <c r="G21" s="653">
        <f t="shared" si="5"/>
        <v>0.53425138141143569</v>
      </c>
      <c r="H21" s="653">
        <f>H20*H19</f>
        <v>0</v>
      </c>
      <c r="I21" s="124"/>
      <c r="J21" s="213"/>
      <c r="K21" s="213"/>
      <c r="L21" s="213"/>
    </row>
    <row r="22" spans="2:12">
      <c r="B22" s="172">
        <v>12</v>
      </c>
      <c r="C22" s="652" t="s">
        <v>461</v>
      </c>
      <c r="D22" s="124"/>
      <c r="E22" s="124"/>
      <c r="F22" s="124"/>
      <c r="G22" s="124"/>
      <c r="H22" s="124"/>
      <c r="I22" s="124"/>
      <c r="J22" s="213"/>
      <c r="K22" s="213"/>
      <c r="L22" s="213"/>
    </row>
    <row r="23" spans="2:12">
      <c r="B23" s="655">
        <v>13</v>
      </c>
      <c r="C23" s="656" t="s">
        <v>462</v>
      </c>
      <c r="D23" s="657">
        <f>SUM(D21:D22)</f>
        <v>4.0241092894228592</v>
      </c>
      <c r="E23" s="657">
        <f>SUM(E21:E22)</f>
        <v>6.2880610534114343</v>
      </c>
      <c r="F23" s="657">
        <f>SUM(F21:F22)</f>
        <v>2.7982031454000107</v>
      </c>
      <c r="G23" s="657">
        <f>SUM(G21:G22)</f>
        <v>0.53425138141143569</v>
      </c>
      <c r="H23" s="657">
        <f>SUM(H21:H22)</f>
        <v>0</v>
      </c>
      <c r="I23" s="657"/>
      <c r="J23" s="213"/>
      <c r="K23" s="213"/>
      <c r="L23" s="213"/>
    </row>
    <row r="24" spans="2:12" s="156" customFormat="1">
      <c r="B24" s="648"/>
      <c r="C24" s="179"/>
      <c r="D24" s="650"/>
      <c r="E24" s="647"/>
      <c r="F24" s="647"/>
      <c r="G24" s="647"/>
      <c r="H24" s="647"/>
      <c r="I24" s="647"/>
      <c r="J24" s="647"/>
      <c r="K24" s="647"/>
    </row>
    <row r="25" spans="2:12">
      <c r="B25" s="231"/>
      <c r="C25" s="649" t="s">
        <v>463</v>
      </c>
    </row>
    <row r="26" spans="2:12">
      <c r="B26" s="231"/>
      <c r="I26" s="72" t="s">
        <v>52</v>
      </c>
      <c r="K26" s="72"/>
    </row>
    <row r="27" spans="2:12" ht="15" customHeight="1">
      <c r="B27" s="748" t="s">
        <v>447</v>
      </c>
      <c r="C27" s="748" t="s">
        <v>448</v>
      </c>
      <c r="D27" s="827" t="s">
        <v>449</v>
      </c>
      <c r="E27" s="828"/>
      <c r="F27" s="828"/>
      <c r="G27" s="828"/>
      <c r="H27" s="829"/>
      <c r="I27" s="788" t="s">
        <v>55</v>
      </c>
      <c r="J27" s="651"/>
      <c r="K27" s="651"/>
      <c r="L27" s="651"/>
    </row>
    <row r="28" spans="2:12">
      <c r="B28" s="748"/>
      <c r="C28" s="748"/>
      <c r="D28" s="153" t="s">
        <v>56</v>
      </c>
      <c r="E28" s="153" t="s">
        <v>57</v>
      </c>
      <c r="F28" s="153" t="s">
        <v>58</v>
      </c>
      <c r="G28" s="153" t="s">
        <v>59</v>
      </c>
      <c r="H28" s="153" t="s">
        <v>60</v>
      </c>
      <c r="I28" s="830"/>
      <c r="J28" s="213"/>
      <c r="K28" s="213"/>
      <c r="L28" s="213"/>
    </row>
    <row r="29" spans="2:12">
      <c r="B29" s="658"/>
      <c r="C29" s="659"/>
      <c r="D29" s="153" t="s">
        <v>61</v>
      </c>
      <c r="E29" s="153" t="s">
        <v>61</v>
      </c>
      <c r="F29" s="153" t="s">
        <v>61</v>
      </c>
      <c r="G29" s="153" t="s">
        <v>61</v>
      </c>
      <c r="H29" s="153" t="s">
        <v>61</v>
      </c>
      <c r="I29" s="642"/>
      <c r="J29" s="213"/>
      <c r="K29" s="213"/>
      <c r="L29" s="213"/>
    </row>
    <row r="30" spans="2:12">
      <c r="B30" s="655">
        <v>1</v>
      </c>
      <c r="C30" s="656" t="s">
        <v>464</v>
      </c>
      <c r="D30" s="124"/>
      <c r="E30" s="124"/>
      <c r="F30" s="124"/>
      <c r="G30" s="124"/>
      <c r="H30" s="124"/>
      <c r="I30" s="124"/>
      <c r="J30" s="213"/>
      <c r="K30" s="213"/>
      <c r="L30" s="213"/>
    </row>
    <row r="31" spans="2:12">
      <c r="B31" s="172">
        <v>1.1000000000000001</v>
      </c>
      <c r="C31" s="652" t="s">
        <v>465</v>
      </c>
      <c r="D31" s="336"/>
      <c r="E31" s="336"/>
      <c r="F31" s="336"/>
      <c r="G31" s="336"/>
      <c r="H31" s="336"/>
      <c r="I31" s="124"/>
      <c r="J31" s="213"/>
      <c r="K31" s="213"/>
      <c r="L31" s="213"/>
    </row>
    <row r="32" spans="2:12">
      <c r="B32" s="172">
        <f t="shared" ref="B32:B35" si="6">B31+0.1</f>
        <v>1.2000000000000002</v>
      </c>
      <c r="C32" s="652" t="s">
        <v>453</v>
      </c>
      <c r="D32" s="124"/>
      <c r="E32" s="124"/>
      <c r="F32" s="124"/>
      <c r="G32" s="124"/>
      <c r="H32" s="124"/>
      <c r="I32" s="124"/>
      <c r="J32" s="213"/>
      <c r="K32" s="213"/>
      <c r="L32" s="213"/>
    </row>
    <row r="33" spans="2:12">
      <c r="B33" s="172">
        <f t="shared" si="6"/>
        <v>1.3000000000000003</v>
      </c>
      <c r="C33" s="652" t="s">
        <v>466</v>
      </c>
      <c r="D33" s="124"/>
      <c r="E33" s="124"/>
      <c r="F33" s="124"/>
      <c r="G33" s="124"/>
      <c r="H33" s="124"/>
      <c r="I33" s="124"/>
      <c r="J33" s="213"/>
      <c r="K33" s="213"/>
      <c r="L33" s="213"/>
    </row>
    <row r="34" spans="2:12">
      <c r="B34" s="172">
        <f t="shared" si="6"/>
        <v>1.4000000000000004</v>
      </c>
      <c r="C34" s="652" t="s">
        <v>467</v>
      </c>
      <c r="D34" s="660"/>
      <c r="E34" s="660"/>
      <c r="F34" s="660"/>
      <c r="G34" s="660"/>
      <c r="H34" s="660"/>
      <c r="I34" s="124"/>
      <c r="J34" s="213"/>
      <c r="K34" s="213"/>
      <c r="L34" s="213"/>
    </row>
    <row r="35" spans="2:12">
      <c r="B35" s="172">
        <f t="shared" si="6"/>
        <v>1.5000000000000004</v>
      </c>
      <c r="C35" s="652" t="s">
        <v>468</v>
      </c>
      <c r="D35" s="661"/>
      <c r="E35" s="661"/>
      <c r="F35" s="661"/>
      <c r="G35" s="661"/>
      <c r="H35" s="661"/>
      <c r="I35" s="124"/>
      <c r="J35" s="213"/>
      <c r="K35" s="213"/>
      <c r="L35" s="213"/>
    </row>
    <row r="36" spans="2:12">
      <c r="B36" s="172">
        <f>B35+0.1</f>
        <v>1.6000000000000005</v>
      </c>
      <c r="C36" s="652" t="s">
        <v>469</v>
      </c>
      <c r="D36" s="661"/>
      <c r="E36" s="661"/>
      <c r="F36" s="661"/>
      <c r="G36" s="661"/>
      <c r="H36" s="661"/>
      <c r="I36" s="124"/>
      <c r="J36" s="213"/>
      <c r="K36" s="213"/>
      <c r="L36" s="213"/>
    </row>
    <row r="37" spans="2:12">
      <c r="B37" s="172">
        <f>B36+0.1</f>
        <v>1.7000000000000006</v>
      </c>
      <c r="C37" s="652" t="s">
        <v>470</v>
      </c>
      <c r="D37" s="654"/>
      <c r="E37" s="654"/>
      <c r="F37" s="654"/>
      <c r="G37" s="654"/>
      <c r="H37" s="654"/>
      <c r="I37" s="124"/>
      <c r="J37" s="213"/>
      <c r="K37" s="213"/>
      <c r="L37" s="213"/>
    </row>
    <row r="38" spans="2:12">
      <c r="B38" s="172">
        <f>B37+0.1</f>
        <v>1.8000000000000007</v>
      </c>
      <c r="C38" s="652" t="s">
        <v>460</v>
      </c>
      <c r="D38" s="661"/>
      <c r="E38" s="661"/>
      <c r="F38" s="661"/>
      <c r="G38" s="661"/>
      <c r="H38" s="661"/>
      <c r="I38" s="124"/>
      <c r="J38" s="213"/>
      <c r="K38" s="213"/>
      <c r="L38" s="213"/>
    </row>
    <row r="39" spans="2:12">
      <c r="B39" s="172"/>
      <c r="C39" s="652"/>
      <c r="D39" s="124"/>
      <c r="E39" s="124"/>
      <c r="F39" s="124"/>
      <c r="G39" s="124"/>
      <c r="H39" s="124"/>
      <c r="I39" s="124"/>
      <c r="J39" s="213"/>
      <c r="K39" s="213"/>
      <c r="L39" s="213"/>
    </row>
    <row r="40" spans="2:12">
      <c r="B40" s="655">
        <v>2</v>
      </c>
      <c r="C40" s="656" t="s">
        <v>471</v>
      </c>
      <c r="D40" s="124"/>
      <c r="E40" s="124"/>
      <c r="F40" s="124"/>
      <c r="G40" s="124"/>
      <c r="H40" s="124"/>
      <c r="I40" s="124"/>
      <c r="J40" s="213"/>
      <c r="K40" s="213"/>
      <c r="L40" s="213"/>
    </row>
    <row r="41" spans="2:12">
      <c r="B41" s="172">
        <f t="shared" ref="B41:B44" si="7">B40+0.1</f>
        <v>2.1</v>
      </c>
      <c r="C41" s="652" t="s">
        <v>465</v>
      </c>
      <c r="D41" s="124"/>
      <c r="E41" s="124"/>
      <c r="F41" s="124"/>
      <c r="G41" s="124"/>
      <c r="H41" s="124"/>
      <c r="I41" s="124"/>
      <c r="J41" s="213"/>
      <c r="K41" s="213"/>
      <c r="L41" s="213"/>
    </row>
    <row r="42" spans="2:12">
      <c r="B42" s="172">
        <f t="shared" si="7"/>
        <v>2.2000000000000002</v>
      </c>
      <c r="C42" s="652" t="s">
        <v>453</v>
      </c>
      <c r="D42" s="124"/>
      <c r="E42" s="124"/>
      <c r="F42" s="124"/>
      <c r="G42" s="124"/>
      <c r="H42" s="124"/>
      <c r="I42" s="124"/>
      <c r="J42" s="213"/>
      <c r="K42" s="213"/>
      <c r="L42" s="213"/>
    </row>
    <row r="43" spans="2:12">
      <c r="B43" s="172">
        <f t="shared" si="7"/>
        <v>2.3000000000000003</v>
      </c>
      <c r="C43" s="652" t="s">
        <v>467</v>
      </c>
      <c r="D43" s="124"/>
      <c r="E43" s="124"/>
      <c r="F43" s="124"/>
      <c r="G43" s="124"/>
      <c r="H43" s="124"/>
      <c r="I43" s="124"/>
      <c r="J43" s="213"/>
      <c r="K43" s="213"/>
      <c r="L43" s="213"/>
    </row>
    <row r="44" spans="2:12">
      <c r="B44" s="172">
        <f t="shared" si="7"/>
        <v>2.4000000000000004</v>
      </c>
      <c r="C44" s="652" t="s">
        <v>468</v>
      </c>
      <c r="D44" s="124"/>
      <c r="E44" s="124"/>
      <c r="F44" s="124"/>
      <c r="G44" s="124"/>
      <c r="H44" s="124"/>
      <c r="I44" s="124"/>
      <c r="J44" s="213"/>
      <c r="K44" s="213"/>
      <c r="L44" s="213"/>
    </row>
    <row r="45" spans="2:12">
      <c r="B45" s="172">
        <f>B44+0.1</f>
        <v>2.5000000000000004</v>
      </c>
      <c r="C45" s="652" t="s">
        <v>469</v>
      </c>
      <c r="D45" s="124"/>
      <c r="E45" s="124"/>
      <c r="F45" s="124"/>
      <c r="G45" s="124"/>
      <c r="H45" s="124"/>
      <c r="I45" s="124"/>
      <c r="J45" s="213"/>
      <c r="K45" s="213"/>
      <c r="L45" s="213"/>
    </row>
    <row r="46" spans="2:12">
      <c r="B46" s="172">
        <f>B45+0.1</f>
        <v>2.6000000000000005</v>
      </c>
      <c r="C46" s="652" t="s">
        <v>470</v>
      </c>
      <c r="D46" s="124"/>
      <c r="E46" s="124"/>
      <c r="F46" s="124"/>
      <c r="G46" s="124"/>
      <c r="H46" s="124"/>
      <c r="I46" s="124"/>
      <c r="J46" s="213"/>
      <c r="K46" s="213"/>
      <c r="L46" s="213"/>
    </row>
    <row r="47" spans="2:12">
      <c r="B47" s="172">
        <f>B46+0.1</f>
        <v>2.7000000000000006</v>
      </c>
      <c r="C47" s="652" t="s">
        <v>460</v>
      </c>
      <c r="D47" s="124"/>
      <c r="E47" s="124"/>
      <c r="F47" s="124"/>
      <c r="G47" s="124"/>
      <c r="H47" s="124"/>
      <c r="I47" s="124"/>
      <c r="J47" s="213"/>
      <c r="K47" s="213"/>
      <c r="L47" s="213"/>
    </row>
    <row r="48" spans="2:12">
      <c r="B48" s="172"/>
      <c r="C48" s="652"/>
      <c r="D48" s="124"/>
      <c r="E48" s="124"/>
      <c r="F48" s="124"/>
      <c r="G48" s="124"/>
      <c r="H48" s="124"/>
      <c r="I48" s="124"/>
      <c r="J48" s="213"/>
      <c r="K48" s="213"/>
      <c r="L48" s="213"/>
    </row>
    <row r="49" spans="2:12">
      <c r="B49" s="655">
        <v>3</v>
      </c>
      <c r="C49" s="656" t="s">
        <v>472</v>
      </c>
      <c r="D49" s="124"/>
      <c r="E49" s="124"/>
      <c r="F49" s="124"/>
      <c r="G49" s="124"/>
      <c r="H49" s="124"/>
      <c r="I49" s="124"/>
      <c r="J49" s="213"/>
      <c r="K49" s="213"/>
      <c r="L49" s="213"/>
    </row>
    <row r="50" spans="2:12">
      <c r="B50" s="172"/>
      <c r="C50" s="652" t="s">
        <v>348</v>
      </c>
      <c r="D50" s="124"/>
      <c r="E50" s="124"/>
      <c r="F50" s="124"/>
      <c r="G50" s="124"/>
      <c r="H50" s="124"/>
      <c r="I50" s="124"/>
      <c r="J50" s="213"/>
      <c r="K50" s="213"/>
      <c r="L50" s="213"/>
    </row>
    <row r="51" spans="2:12">
      <c r="B51" s="172"/>
      <c r="C51" s="652" t="s">
        <v>348</v>
      </c>
      <c r="D51" s="124"/>
      <c r="E51" s="124"/>
      <c r="F51" s="124"/>
      <c r="G51" s="124"/>
      <c r="H51" s="124"/>
      <c r="I51" s="124"/>
      <c r="J51" s="213"/>
      <c r="K51" s="213"/>
      <c r="L51" s="213"/>
    </row>
    <row r="52" spans="2:12">
      <c r="B52" s="172"/>
      <c r="C52" s="652" t="s">
        <v>348</v>
      </c>
      <c r="D52" s="124"/>
      <c r="E52" s="124"/>
      <c r="F52" s="124"/>
      <c r="G52" s="124"/>
      <c r="H52" s="124"/>
      <c r="I52" s="124"/>
      <c r="J52" s="213"/>
      <c r="K52" s="213"/>
      <c r="L52" s="213"/>
    </row>
    <row r="53" spans="2:12">
      <c r="B53" s="172"/>
      <c r="C53" s="652"/>
      <c r="D53" s="124"/>
      <c r="E53" s="124"/>
      <c r="F53" s="124"/>
      <c r="G53" s="124"/>
      <c r="H53" s="124"/>
      <c r="I53" s="124"/>
      <c r="J53" s="213"/>
      <c r="K53" s="213"/>
      <c r="L53" s="213"/>
    </row>
    <row r="54" spans="2:12">
      <c r="B54" s="655">
        <v>10</v>
      </c>
      <c r="C54" s="656" t="s">
        <v>219</v>
      </c>
      <c r="D54" s="124"/>
      <c r="E54" s="124"/>
      <c r="F54" s="124"/>
      <c r="G54" s="124"/>
      <c r="H54" s="124"/>
      <c r="I54" s="124"/>
      <c r="J54" s="213"/>
      <c r="K54" s="213"/>
      <c r="L54" s="213"/>
    </row>
    <row r="55" spans="2:12">
      <c r="B55" s="172">
        <f t="shared" ref="B55:B58" si="8">B54+0.1</f>
        <v>10.1</v>
      </c>
      <c r="C55" s="652" t="s">
        <v>465</v>
      </c>
      <c r="D55" s="124"/>
      <c r="E55" s="124"/>
      <c r="F55" s="124"/>
      <c r="G55" s="124"/>
      <c r="H55" s="124"/>
      <c r="I55" s="124"/>
      <c r="J55" s="213"/>
      <c r="K55" s="213"/>
      <c r="L55" s="213"/>
    </row>
    <row r="56" spans="2:12">
      <c r="B56" s="172">
        <f t="shared" si="8"/>
        <v>10.199999999999999</v>
      </c>
      <c r="C56" s="652" t="s">
        <v>453</v>
      </c>
      <c r="D56" s="124"/>
      <c r="E56" s="124"/>
      <c r="F56" s="124"/>
      <c r="G56" s="124"/>
      <c r="H56" s="124"/>
      <c r="I56" s="124"/>
      <c r="J56" s="213"/>
      <c r="K56" s="213"/>
      <c r="L56" s="213"/>
    </row>
    <row r="57" spans="2:12">
      <c r="B57" s="172">
        <f t="shared" si="8"/>
        <v>10.299999999999999</v>
      </c>
      <c r="C57" s="652" t="s">
        <v>467</v>
      </c>
      <c r="D57" s="124"/>
      <c r="E57" s="124"/>
      <c r="F57" s="124"/>
      <c r="G57" s="124"/>
      <c r="H57" s="124"/>
      <c r="I57" s="124"/>
      <c r="J57" s="213"/>
      <c r="K57" s="213"/>
      <c r="L57" s="213"/>
    </row>
    <row r="58" spans="2:12">
      <c r="B58" s="172">
        <f t="shared" si="8"/>
        <v>10.399999999999999</v>
      </c>
      <c r="C58" s="652" t="s">
        <v>468</v>
      </c>
      <c r="D58" s="124"/>
      <c r="E58" s="124"/>
      <c r="F58" s="124"/>
      <c r="G58" s="124"/>
      <c r="H58" s="124"/>
      <c r="I58" s="124"/>
      <c r="J58" s="213"/>
      <c r="K58" s="213"/>
      <c r="L58" s="213"/>
    </row>
    <row r="59" spans="2:12">
      <c r="B59" s="172">
        <f>B58+0.1</f>
        <v>10.499999999999998</v>
      </c>
      <c r="C59" s="652" t="s">
        <v>469</v>
      </c>
      <c r="D59" s="124"/>
      <c r="E59" s="124"/>
      <c r="F59" s="124"/>
      <c r="G59" s="124"/>
      <c r="H59" s="124"/>
      <c r="I59" s="124"/>
      <c r="J59" s="213"/>
      <c r="K59" s="213"/>
      <c r="L59" s="213"/>
    </row>
    <row r="60" spans="2:12">
      <c r="B60" s="172">
        <f>B59+0.1</f>
        <v>10.599999999999998</v>
      </c>
      <c r="C60" s="652" t="s">
        <v>470</v>
      </c>
      <c r="D60" s="124"/>
      <c r="E60" s="124"/>
      <c r="F60" s="124"/>
      <c r="G60" s="124"/>
      <c r="H60" s="124"/>
      <c r="I60" s="124"/>
      <c r="J60" s="213"/>
      <c r="K60" s="213"/>
      <c r="L60" s="213"/>
    </row>
    <row r="61" spans="2:12">
      <c r="B61" s="172">
        <f>B60+0.1</f>
        <v>10.699999999999998</v>
      </c>
      <c r="C61" s="652" t="s">
        <v>460</v>
      </c>
      <c r="D61" s="124"/>
      <c r="E61" s="124"/>
      <c r="F61" s="124"/>
      <c r="G61" s="124"/>
      <c r="H61" s="124"/>
      <c r="I61" s="124"/>
      <c r="J61" s="213"/>
      <c r="K61" s="213"/>
      <c r="L61" s="213"/>
    </row>
    <row r="62" spans="2:12">
      <c r="B62" s="172"/>
      <c r="C62" s="652"/>
      <c r="D62" s="124"/>
      <c r="E62" s="124"/>
      <c r="F62" s="124"/>
      <c r="G62" s="124"/>
      <c r="H62" s="124"/>
      <c r="I62" s="124"/>
      <c r="J62" s="213"/>
      <c r="K62" s="213"/>
      <c r="L62" s="213"/>
    </row>
    <row r="63" spans="2:12">
      <c r="B63" s="172"/>
      <c r="C63" s="652"/>
      <c r="D63" s="124"/>
      <c r="E63" s="124"/>
      <c r="F63" s="124"/>
      <c r="G63" s="124"/>
      <c r="H63" s="124"/>
      <c r="I63" s="124"/>
      <c r="J63" s="213"/>
      <c r="K63" s="213"/>
      <c r="L63" s="213"/>
    </row>
    <row r="64" spans="2:12">
      <c r="B64" s="172">
        <v>9</v>
      </c>
      <c r="C64" s="656" t="s">
        <v>473</v>
      </c>
      <c r="D64" s="662"/>
      <c r="E64" s="662"/>
      <c r="F64" s="662"/>
      <c r="G64" s="662"/>
      <c r="H64" s="124"/>
      <c r="I64" s="124"/>
      <c r="J64" s="213"/>
      <c r="K64" s="213"/>
      <c r="L64" s="213"/>
    </row>
    <row r="65" spans="2:12">
      <c r="B65" s="172">
        <v>10</v>
      </c>
      <c r="C65" s="159" t="s">
        <v>171</v>
      </c>
      <c r="D65" s="124"/>
      <c r="E65" s="124"/>
      <c r="F65" s="124"/>
      <c r="G65" s="124"/>
      <c r="H65" s="124"/>
      <c r="I65" s="124"/>
      <c r="J65" s="213"/>
      <c r="K65" s="213"/>
      <c r="L65" s="213"/>
    </row>
    <row r="66" spans="2:12">
      <c r="B66" s="655">
        <v>11</v>
      </c>
      <c r="C66" s="662" t="s">
        <v>474</v>
      </c>
      <c r="D66" s="124"/>
      <c r="E66" s="124"/>
      <c r="F66" s="124"/>
      <c r="G66" s="124"/>
      <c r="H66" s="124"/>
      <c r="I66" s="124"/>
      <c r="J66" s="213"/>
      <c r="K66" s="213"/>
      <c r="L66" s="213"/>
    </row>
    <row r="67" spans="2:12">
      <c r="B67" s="172"/>
      <c r="C67" s="663"/>
      <c r="D67" s="124"/>
      <c r="E67" s="124"/>
      <c r="F67" s="124"/>
      <c r="G67" s="124"/>
      <c r="H67" s="124"/>
      <c r="I67" s="124"/>
      <c r="J67" s="213"/>
      <c r="K67" s="213"/>
      <c r="L67" s="213"/>
    </row>
    <row r="68" spans="2:12">
      <c r="B68" s="231"/>
      <c r="C68" s="664"/>
      <c r="J68" s="213"/>
      <c r="K68" s="213"/>
      <c r="L68" s="213"/>
    </row>
    <row r="69" spans="2:12">
      <c r="B69" s="231"/>
      <c r="C69" s="665" t="s">
        <v>475</v>
      </c>
      <c r="J69" s="213"/>
      <c r="K69" s="213"/>
      <c r="L69" s="213"/>
    </row>
    <row r="70" spans="2:12">
      <c r="B70" s="231"/>
      <c r="C70" s="73" t="s">
        <v>476</v>
      </c>
    </row>
    <row r="71" spans="2:12">
      <c r="B71" s="231"/>
    </row>
    <row r="72" spans="2:12">
      <c r="B72" s="231"/>
      <c r="C72" s="649" t="s">
        <v>477</v>
      </c>
    </row>
    <row r="73" spans="2:12">
      <c r="I73" s="72" t="s">
        <v>52</v>
      </c>
    </row>
    <row r="74" spans="2:12" ht="15" customHeight="1">
      <c r="B74" s="748" t="s">
        <v>2</v>
      </c>
      <c r="C74" s="748" t="s">
        <v>448</v>
      </c>
      <c r="D74" s="827" t="s">
        <v>449</v>
      </c>
      <c r="E74" s="828"/>
      <c r="F74" s="828"/>
      <c r="G74" s="828"/>
      <c r="H74" s="829"/>
      <c r="I74" s="788" t="s">
        <v>55</v>
      </c>
    </row>
    <row r="75" spans="2:12">
      <c r="B75" s="748"/>
      <c r="C75" s="748"/>
      <c r="D75" s="153" t="s">
        <v>56</v>
      </c>
      <c r="E75" s="153" t="s">
        <v>57</v>
      </c>
      <c r="F75" s="153" t="s">
        <v>58</v>
      </c>
      <c r="G75" s="153" t="s">
        <v>59</v>
      </c>
      <c r="H75" s="153" t="s">
        <v>60</v>
      </c>
      <c r="I75" s="830"/>
    </row>
    <row r="76" spans="2:12">
      <c r="B76" s="666"/>
      <c r="C76" s="667"/>
      <c r="D76" s="153" t="s">
        <v>61</v>
      </c>
      <c r="E76" s="153" t="s">
        <v>61</v>
      </c>
      <c r="F76" s="153" t="s">
        <v>61</v>
      </c>
      <c r="G76" s="153" t="s">
        <v>61</v>
      </c>
      <c r="H76" s="153" t="s">
        <v>61</v>
      </c>
      <c r="I76" s="642"/>
    </row>
    <row r="77" spans="2:12">
      <c r="B77" s="655">
        <v>1</v>
      </c>
      <c r="C77" s="656" t="s">
        <v>464</v>
      </c>
      <c r="D77" s="124"/>
      <c r="E77" s="124"/>
      <c r="F77" s="124"/>
      <c r="G77" s="124"/>
      <c r="H77" s="124"/>
      <c r="I77" s="124"/>
      <c r="J77" s="213"/>
      <c r="K77" s="213"/>
      <c r="L77" s="213"/>
    </row>
    <row r="78" spans="2:12">
      <c r="B78" s="172">
        <v>1.1000000000000001</v>
      </c>
      <c r="C78" s="652" t="s">
        <v>465</v>
      </c>
      <c r="D78" s="124"/>
      <c r="E78" s="124"/>
      <c r="F78" s="124"/>
      <c r="G78" s="124"/>
      <c r="H78" s="124"/>
      <c r="I78" s="124"/>
      <c r="J78" s="213"/>
      <c r="K78" s="213"/>
      <c r="L78" s="213"/>
    </row>
    <row r="79" spans="2:12">
      <c r="B79" s="172">
        <f t="shared" ref="B79:B82" si="9">B78+0.1</f>
        <v>1.2000000000000002</v>
      </c>
      <c r="C79" s="652" t="s">
        <v>453</v>
      </c>
      <c r="D79" s="124"/>
      <c r="E79" s="124"/>
      <c r="F79" s="124"/>
      <c r="G79" s="124"/>
      <c r="H79" s="124"/>
      <c r="I79" s="124"/>
      <c r="J79" s="213"/>
      <c r="K79" s="213"/>
      <c r="L79" s="213"/>
    </row>
    <row r="80" spans="2:12">
      <c r="B80" s="172">
        <f t="shared" si="9"/>
        <v>1.3000000000000003</v>
      </c>
      <c r="C80" s="652" t="s">
        <v>466</v>
      </c>
      <c r="D80" s="124"/>
      <c r="E80" s="124"/>
      <c r="F80" s="124"/>
      <c r="G80" s="124"/>
      <c r="H80" s="124"/>
      <c r="I80" s="124"/>
      <c r="J80" s="213"/>
      <c r="K80" s="213"/>
      <c r="L80" s="213"/>
    </row>
    <row r="81" spans="2:12">
      <c r="B81" s="172">
        <f t="shared" si="9"/>
        <v>1.4000000000000004</v>
      </c>
      <c r="C81" s="652" t="s">
        <v>467</v>
      </c>
      <c r="D81" s="124"/>
      <c r="E81" s="124"/>
      <c r="F81" s="124"/>
      <c r="G81" s="124"/>
      <c r="H81" s="124"/>
      <c r="I81" s="124"/>
      <c r="J81" s="213"/>
      <c r="K81" s="213"/>
      <c r="L81" s="213"/>
    </row>
    <row r="82" spans="2:12">
      <c r="B82" s="172">
        <f t="shared" si="9"/>
        <v>1.5000000000000004</v>
      </c>
      <c r="C82" s="652" t="s">
        <v>468</v>
      </c>
      <c r="D82" s="124"/>
      <c r="E82" s="124"/>
      <c r="F82" s="124"/>
      <c r="G82" s="124"/>
      <c r="H82" s="124"/>
      <c r="I82" s="124"/>
      <c r="J82" s="213"/>
      <c r="K82" s="213"/>
      <c r="L82" s="213"/>
    </row>
    <row r="83" spans="2:12">
      <c r="B83" s="172">
        <f>B82+0.1</f>
        <v>1.6000000000000005</v>
      </c>
      <c r="C83" s="652" t="s">
        <v>469</v>
      </c>
      <c r="D83" s="124"/>
      <c r="E83" s="124"/>
      <c r="F83" s="124"/>
      <c r="G83" s="124"/>
      <c r="H83" s="124"/>
      <c r="I83" s="124"/>
      <c r="J83" s="213"/>
      <c r="K83" s="213"/>
      <c r="L83" s="213"/>
    </row>
    <row r="84" spans="2:12">
      <c r="B84" s="172">
        <f>B83+0.1</f>
        <v>1.7000000000000006</v>
      </c>
      <c r="C84" s="652" t="s">
        <v>470</v>
      </c>
      <c r="D84" s="124"/>
      <c r="E84" s="124"/>
      <c r="F84" s="124"/>
      <c r="G84" s="124"/>
      <c r="H84" s="124"/>
      <c r="I84" s="124"/>
      <c r="J84" s="213"/>
      <c r="K84" s="213"/>
      <c r="L84" s="213"/>
    </row>
    <row r="85" spans="2:12">
      <c r="B85" s="172">
        <f>B84+0.1</f>
        <v>1.8000000000000007</v>
      </c>
      <c r="C85" s="652" t="s">
        <v>460</v>
      </c>
      <c r="D85" s="124"/>
      <c r="E85" s="124"/>
      <c r="F85" s="124"/>
      <c r="G85" s="124"/>
      <c r="H85" s="124"/>
      <c r="I85" s="124"/>
      <c r="J85" s="213"/>
      <c r="K85" s="213"/>
      <c r="L85" s="213"/>
    </row>
    <row r="86" spans="2:12">
      <c r="B86" s="172"/>
      <c r="C86" s="652"/>
      <c r="D86" s="124"/>
      <c r="E86" s="124"/>
      <c r="F86" s="124"/>
      <c r="G86" s="124"/>
      <c r="H86" s="124"/>
      <c r="I86" s="124"/>
      <c r="J86" s="213"/>
      <c r="K86" s="213"/>
      <c r="L86" s="213"/>
    </row>
    <row r="87" spans="2:12">
      <c r="B87" s="655">
        <v>2</v>
      </c>
      <c r="C87" s="656" t="s">
        <v>471</v>
      </c>
      <c r="D87" s="124"/>
      <c r="E87" s="124"/>
      <c r="F87" s="124"/>
      <c r="G87" s="124"/>
      <c r="H87" s="124"/>
      <c r="I87" s="124"/>
      <c r="J87" s="213"/>
      <c r="K87" s="213"/>
      <c r="L87" s="213"/>
    </row>
    <row r="88" spans="2:12">
      <c r="B88" s="172">
        <f t="shared" ref="B88:B91" si="10">B87+0.1</f>
        <v>2.1</v>
      </c>
      <c r="C88" s="652" t="s">
        <v>465</v>
      </c>
      <c r="D88" s="124"/>
      <c r="E88" s="124"/>
      <c r="F88" s="124"/>
      <c r="G88" s="124"/>
      <c r="H88" s="124"/>
      <c r="I88" s="124"/>
      <c r="J88" s="213"/>
      <c r="K88" s="213"/>
      <c r="L88" s="213"/>
    </row>
    <row r="89" spans="2:12">
      <c r="B89" s="172">
        <f t="shared" si="10"/>
        <v>2.2000000000000002</v>
      </c>
      <c r="C89" s="652" t="s">
        <v>453</v>
      </c>
      <c r="D89" s="124"/>
      <c r="E89" s="124"/>
      <c r="F89" s="124"/>
      <c r="G89" s="124"/>
      <c r="H89" s="124"/>
      <c r="I89" s="124"/>
      <c r="J89" s="213"/>
      <c r="K89" s="213"/>
      <c r="L89" s="213"/>
    </row>
    <row r="90" spans="2:12">
      <c r="B90" s="172">
        <f t="shared" si="10"/>
        <v>2.3000000000000003</v>
      </c>
      <c r="C90" s="652" t="s">
        <v>467</v>
      </c>
      <c r="D90" s="124"/>
      <c r="E90" s="124"/>
      <c r="F90" s="124"/>
      <c r="G90" s="124"/>
      <c r="H90" s="124"/>
      <c r="I90" s="124"/>
      <c r="J90" s="213"/>
      <c r="K90" s="213"/>
      <c r="L90" s="213"/>
    </row>
    <row r="91" spans="2:12">
      <c r="B91" s="172">
        <f t="shared" si="10"/>
        <v>2.4000000000000004</v>
      </c>
      <c r="C91" s="652" t="s">
        <v>468</v>
      </c>
      <c r="D91" s="124"/>
      <c r="E91" s="124"/>
      <c r="F91" s="124"/>
      <c r="G91" s="124"/>
      <c r="H91" s="124"/>
      <c r="I91" s="124"/>
      <c r="J91" s="213"/>
      <c r="K91" s="213"/>
      <c r="L91" s="213"/>
    </row>
    <row r="92" spans="2:12">
      <c r="B92" s="172">
        <f>B91+0.1</f>
        <v>2.5000000000000004</v>
      </c>
      <c r="C92" s="652" t="s">
        <v>469</v>
      </c>
      <c r="D92" s="124"/>
      <c r="E92" s="124"/>
      <c r="F92" s="124"/>
      <c r="G92" s="124"/>
      <c r="H92" s="124"/>
      <c r="I92" s="124"/>
      <c r="J92" s="213"/>
      <c r="K92" s="213"/>
      <c r="L92" s="213"/>
    </row>
    <row r="93" spans="2:12">
      <c r="B93" s="172">
        <f>B92+0.1</f>
        <v>2.6000000000000005</v>
      </c>
      <c r="C93" s="652" t="s">
        <v>470</v>
      </c>
      <c r="D93" s="124"/>
      <c r="E93" s="124"/>
      <c r="F93" s="124"/>
      <c r="G93" s="124"/>
      <c r="H93" s="124"/>
      <c r="I93" s="124"/>
      <c r="J93" s="213"/>
      <c r="K93" s="213"/>
      <c r="L93" s="213"/>
    </row>
    <row r="94" spans="2:12">
      <c r="B94" s="172">
        <f>B93+0.1</f>
        <v>2.7000000000000006</v>
      </c>
      <c r="C94" s="652" t="s">
        <v>460</v>
      </c>
      <c r="D94" s="124"/>
      <c r="E94" s="124"/>
      <c r="F94" s="124"/>
      <c r="G94" s="124"/>
      <c r="H94" s="124"/>
      <c r="I94" s="124"/>
      <c r="J94" s="213"/>
      <c r="K94" s="213"/>
      <c r="L94" s="213"/>
    </row>
    <row r="95" spans="2:12">
      <c r="B95" s="172"/>
      <c r="C95" s="652"/>
      <c r="D95" s="124"/>
      <c r="E95" s="124"/>
      <c r="F95" s="124"/>
      <c r="G95" s="124"/>
      <c r="H95" s="124"/>
      <c r="I95" s="124"/>
      <c r="J95" s="213"/>
      <c r="K95" s="213"/>
      <c r="L95" s="213"/>
    </row>
    <row r="96" spans="2:12">
      <c r="B96" s="655">
        <v>3</v>
      </c>
      <c r="C96" s="656" t="s">
        <v>472</v>
      </c>
      <c r="D96" s="124"/>
      <c r="E96" s="124"/>
      <c r="F96" s="124"/>
      <c r="G96" s="124"/>
      <c r="H96" s="124"/>
      <c r="I96" s="124"/>
    </row>
    <row r="97" spans="2:9">
      <c r="B97" s="172"/>
      <c r="C97" s="652" t="s">
        <v>348</v>
      </c>
      <c r="D97" s="124"/>
      <c r="E97" s="124"/>
      <c r="F97" s="124"/>
      <c r="G97" s="124"/>
      <c r="H97" s="124"/>
      <c r="I97" s="124"/>
    </row>
    <row r="98" spans="2:9">
      <c r="B98" s="172"/>
      <c r="C98" s="652" t="s">
        <v>348</v>
      </c>
      <c r="D98" s="124"/>
      <c r="E98" s="124"/>
      <c r="F98" s="124"/>
      <c r="G98" s="124"/>
      <c r="H98" s="124"/>
      <c r="I98" s="124"/>
    </row>
    <row r="99" spans="2:9">
      <c r="B99" s="172"/>
      <c r="C99" s="652" t="s">
        <v>348</v>
      </c>
      <c r="D99" s="124"/>
      <c r="E99" s="124"/>
      <c r="F99" s="124"/>
      <c r="G99" s="124"/>
      <c r="H99" s="124"/>
      <c r="I99" s="124"/>
    </row>
    <row r="100" spans="2:9">
      <c r="B100" s="172"/>
      <c r="C100" s="652"/>
      <c r="D100" s="124"/>
      <c r="E100" s="124"/>
      <c r="F100" s="124"/>
      <c r="G100" s="124"/>
      <c r="H100" s="124"/>
      <c r="I100" s="124"/>
    </row>
    <row r="101" spans="2:9">
      <c r="B101" s="655">
        <v>10</v>
      </c>
      <c r="C101" s="656" t="s">
        <v>219</v>
      </c>
      <c r="D101" s="124"/>
      <c r="E101" s="124"/>
      <c r="F101" s="124"/>
      <c r="G101" s="124"/>
      <c r="H101" s="124"/>
      <c r="I101" s="124"/>
    </row>
    <row r="102" spans="2:9">
      <c r="B102" s="172">
        <f t="shared" ref="B102:B105" si="11">B101+0.1</f>
        <v>10.1</v>
      </c>
      <c r="C102" s="652" t="s">
        <v>465</v>
      </c>
      <c r="D102" s="124"/>
      <c r="E102" s="124"/>
      <c r="F102" s="124"/>
      <c r="G102" s="124"/>
      <c r="H102" s="124"/>
      <c r="I102" s="124"/>
    </row>
    <row r="103" spans="2:9">
      <c r="B103" s="172">
        <f t="shared" si="11"/>
        <v>10.199999999999999</v>
      </c>
      <c r="C103" s="652" t="s">
        <v>453</v>
      </c>
      <c r="D103" s="124"/>
      <c r="E103" s="124"/>
      <c r="F103" s="124"/>
      <c r="G103" s="124"/>
      <c r="H103" s="124"/>
      <c r="I103" s="124"/>
    </row>
    <row r="104" spans="2:9">
      <c r="B104" s="172">
        <f t="shared" si="11"/>
        <v>10.299999999999999</v>
      </c>
      <c r="C104" s="652" t="s">
        <v>467</v>
      </c>
      <c r="D104" s="124"/>
      <c r="E104" s="124"/>
      <c r="F104" s="124"/>
      <c r="G104" s="124"/>
      <c r="H104" s="124"/>
      <c r="I104" s="124"/>
    </row>
    <row r="105" spans="2:9">
      <c r="B105" s="172">
        <f t="shared" si="11"/>
        <v>10.399999999999999</v>
      </c>
      <c r="C105" s="652" t="s">
        <v>468</v>
      </c>
      <c r="D105" s="124"/>
      <c r="E105" s="124"/>
      <c r="F105" s="124"/>
      <c r="G105" s="124"/>
      <c r="H105" s="124"/>
      <c r="I105" s="124"/>
    </row>
    <row r="106" spans="2:9">
      <c r="B106" s="172">
        <f>B105+0.1</f>
        <v>10.499999999999998</v>
      </c>
      <c r="C106" s="652" t="s">
        <v>469</v>
      </c>
      <c r="D106" s="124"/>
      <c r="E106" s="124"/>
      <c r="F106" s="124"/>
      <c r="G106" s="124"/>
      <c r="H106" s="124"/>
      <c r="I106" s="124"/>
    </row>
    <row r="107" spans="2:9">
      <c r="B107" s="172">
        <f>B106+0.1</f>
        <v>10.599999999999998</v>
      </c>
      <c r="C107" s="652" t="s">
        <v>470</v>
      </c>
      <c r="D107" s="124"/>
      <c r="E107" s="124"/>
      <c r="F107" s="124"/>
      <c r="G107" s="124"/>
      <c r="H107" s="124"/>
      <c r="I107" s="124"/>
    </row>
    <row r="108" spans="2:9">
      <c r="B108" s="172">
        <f>B107+0.1</f>
        <v>10.699999999999998</v>
      </c>
      <c r="C108" s="652" t="s">
        <v>460</v>
      </c>
      <c r="D108" s="124"/>
      <c r="E108" s="124"/>
      <c r="F108" s="124"/>
      <c r="G108" s="124"/>
      <c r="H108" s="124"/>
      <c r="I108" s="124"/>
    </row>
    <row r="109" spans="2:9">
      <c r="B109" s="172"/>
      <c r="C109" s="652"/>
      <c r="D109" s="124"/>
      <c r="E109" s="124"/>
      <c r="F109" s="124"/>
      <c r="G109" s="124"/>
      <c r="H109" s="124"/>
      <c r="I109" s="124"/>
    </row>
    <row r="110" spans="2:9">
      <c r="B110" s="172"/>
      <c r="C110" s="656"/>
      <c r="D110" s="124"/>
      <c r="E110" s="124"/>
      <c r="F110" s="124"/>
      <c r="G110" s="124"/>
      <c r="H110" s="124"/>
      <c r="I110" s="124"/>
    </row>
    <row r="111" spans="2:9">
      <c r="B111" s="172"/>
      <c r="C111" s="652"/>
      <c r="D111" s="124"/>
      <c r="E111" s="124"/>
      <c r="F111" s="124"/>
      <c r="G111" s="124"/>
      <c r="H111" s="124"/>
      <c r="I111" s="124"/>
    </row>
    <row r="112" spans="2:9">
      <c r="B112" s="172">
        <v>9</v>
      </c>
      <c r="C112" s="656" t="s">
        <v>473</v>
      </c>
      <c r="D112" s="662"/>
      <c r="E112" s="662"/>
      <c r="F112" s="662"/>
      <c r="G112" s="124"/>
      <c r="H112" s="124"/>
      <c r="I112" s="124"/>
    </row>
    <row r="113" spans="2:9">
      <c r="B113" s="172">
        <v>10</v>
      </c>
      <c r="C113" s="159" t="s">
        <v>171</v>
      </c>
      <c r="D113" s="124"/>
      <c r="E113" s="124"/>
      <c r="F113" s="124"/>
      <c r="G113" s="124"/>
      <c r="H113" s="124"/>
      <c r="I113" s="124"/>
    </row>
    <row r="114" spans="2:9">
      <c r="B114" s="655">
        <v>11</v>
      </c>
      <c r="C114" s="662" t="s">
        <v>474</v>
      </c>
      <c r="D114" s="124"/>
      <c r="E114" s="124"/>
      <c r="F114" s="124"/>
      <c r="G114" s="124"/>
      <c r="H114" s="124"/>
      <c r="I114" s="124"/>
    </row>
    <row r="115" spans="2:9">
      <c r="B115" s="172"/>
      <c r="C115" s="663"/>
      <c r="D115" s="124"/>
      <c r="E115" s="124"/>
      <c r="F115" s="124"/>
      <c r="G115" s="124"/>
      <c r="H115" s="124"/>
      <c r="I115" s="124"/>
    </row>
    <row r="116" spans="2:9">
      <c r="B116" s="231"/>
      <c r="C116" s="73" t="s">
        <v>476</v>
      </c>
      <c r="I116" s="124"/>
    </row>
  </sheetData>
  <mergeCells count="12">
    <mergeCell ref="B74:B75"/>
    <mergeCell ref="C74:C75"/>
    <mergeCell ref="D74:H74"/>
    <mergeCell ref="I74:I75"/>
    <mergeCell ref="B8:B9"/>
    <mergeCell ref="C8:C9"/>
    <mergeCell ref="D8:H8"/>
    <mergeCell ref="I8:I9"/>
    <mergeCell ref="B27:B28"/>
    <mergeCell ref="C27:C28"/>
    <mergeCell ref="D27:H27"/>
    <mergeCell ref="I27:I28"/>
  </mergeCells>
  <pageMargins left="1.02" right="0.25" top="1" bottom="1" header="0.25" footer="0.25"/>
  <pageSetup paperSize="9" scale="39" orientation="landscape" r:id="rId1"/>
  <headerFooter alignWithMargins="0">
    <oddHeader>&amp;F</oddHeader>
  </headerFooter>
  <rowBreaks count="1" manualBreakCount="1">
    <brk id="71" min="1"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J23"/>
  <sheetViews>
    <sheetView showGridLines="0" view="pageBreakPreview" topLeftCell="B1" zoomScale="64" zoomScaleNormal="75" workbookViewId="0">
      <selection activeCell="E17" sqref="E17:I18"/>
    </sheetView>
  </sheetViews>
  <sheetFormatPr defaultColWidth="9.140625" defaultRowHeight="13.9"/>
  <cols>
    <col min="1" max="1" width="6.85546875" style="17" customWidth="1"/>
    <col min="2" max="2" width="7" style="17" customWidth="1"/>
    <col min="3" max="3" width="96.5703125" style="17" customWidth="1"/>
    <col min="4" max="4" width="14.42578125" style="17" customWidth="1"/>
    <col min="5" max="5" width="16.5703125" style="17" customWidth="1"/>
    <col min="6" max="8" width="18.5703125" style="17" customWidth="1"/>
    <col min="9" max="9" width="17" style="17" customWidth="1"/>
    <col min="10" max="16384" width="9.140625" style="17"/>
  </cols>
  <sheetData>
    <row r="2" spans="2:9">
      <c r="D2" s="52" t="s">
        <v>0</v>
      </c>
      <c r="E2" s="18"/>
    </row>
    <row r="3" spans="2:9" s="19" customFormat="1">
      <c r="D3" s="52" t="s">
        <v>1</v>
      </c>
      <c r="E3" s="20"/>
    </row>
    <row r="4" spans="2:9" s="19" customFormat="1">
      <c r="D4" s="52" t="s">
        <v>478</v>
      </c>
      <c r="E4" s="20"/>
    </row>
    <row r="5" spans="2:9">
      <c r="C5" s="22"/>
    </row>
    <row r="6" spans="2:9">
      <c r="C6" s="22"/>
    </row>
    <row r="7" spans="2:9">
      <c r="I7" s="68" t="s">
        <v>52</v>
      </c>
    </row>
    <row r="8" spans="2:9">
      <c r="B8" s="831" t="s">
        <v>447</v>
      </c>
      <c r="C8" s="831" t="s">
        <v>53</v>
      </c>
      <c r="D8" s="750" t="s">
        <v>4</v>
      </c>
      <c r="E8" s="833" t="s">
        <v>54</v>
      </c>
      <c r="F8" s="834"/>
      <c r="G8" s="834"/>
      <c r="H8" s="834"/>
      <c r="I8" s="835"/>
    </row>
    <row r="9" spans="2:9">
      <c r="B9" s="832"/>
      <c r="C9" s="832"/>
      <c r="D9" s="837"/>
      <c r="E9" s="153" t="s">
        <v>56</v>
      </c>
      <c r="F9" s="153" t="s">
        <v>57</v>
      </c>
      <c r="G9" s="153" t="s">
        <v>58</v>
      </c>
      <c r="H9" s="153" t="s">
        <v>59</v>
      </c>
      <c r="I9" s="153" t="s">
        <v>60</v>
      </c>
    </row>
    <row r="10" spans="2:9">
      <c r="B10" s="33"/>
      <c r="C10" s="33"/>
      <c r="D10" s="33"/>
      <c r="E10" s="171"/>
      <c r="F10" s="171"/>
      <c r="G10" s="171"/>
      <c r="H10" s="171"/>
      <c r="I10" s="171"/>
    </row>
    <row r="11" spans="2:9">
      <c r="B11" s="134">
        <v>1</v>
      </c>
      <c r="C11" s="135" t="s">
        <v>479</v>
      </c>
      <c r="D11" s="170"/>
      <c r="E11" s="24"/>
      <c r="F11" s="23"/>
      <c r="G11" s="23"/>
      <c r="H11" s="23"/>
      <c r="I11" s="23"/>
    </row>
    <row r="12" spans="2:9">
      <c r="B12" s="43">
        <f>+B9+0.1</f>
        <v>0.1</v>
      </c>
      <c r="C12" s="133" t="s">
        <v>480</v>
      </c>
      <c r="D12" s="170"/>
      <c r="E12" s="637">
        <f>'F2'!E14/12</f>
        <v>109.21504127025348</v>
      </c>
      <c r="F12" s="637">
        <f>'F2'!F14/12</f>
        <v>116.28689211625357</v>
      </c>
      <c r="G12" s="637">
        <f>'F2'!G14/12</f>
        <v>121.73075787114125</v>
      </c>
      <c r="H12" s="637">
        <f>'F2'!H14/12</f>
        <v>127.42961182610622</v>
      </c>
      <c r="I12" s="637">
        <f>'F2'!I14/12</f>
        <v>133.39540414106369</v>
      </c>
    </row>
    <row r="13" spans="2:9">
      <c r="B13" s="43">
        <f>+B12+0.1</f>
        <v>0.2</v>
      </c>
      <c r="C13" s="14" t="s">
        <v>481</v>
      </c>
      <c r="D13" s="170"/>
      <c r="E13" s="713">
        <f ca="1">E20*1.5/12</f>
        <v>103.55314723254621</v>
      </c>
      <c r="F13" s="713">
        <f t="shared" ref="F13:I13" ca="1" si="0">F20*1.5/12</f>
        <v>108.84157638585037</v>
      </c>
      <c r="G13" s="713">
        <f t="shared" ca="1" si="0"/>
        <v>110.0678639718743</v>
      </c>
      <c r="H13" s="713">
        <f t="shared" ca="1" si="0"/>
        <v>112.23146792905301</v>
      </c>
      <c r="I13" s="713">
        <f t="shared" ca="1" si="0"/>
        <v>112.11115354350879</v>
      </c>
    </row>
    <row r="14" spans="2:9">
      <c r="B14" s="11"/>
      <c r="C14" s="136" t="s">
        <v>482</v>
      </c>
      <c r="D14" s="24"/>
      <c r="E14" s="638">
        <f ca="1">SUM(E12:E13)</f>
        <v>212.76818850279969</v>
      </c>
      <c r="F14" s="638">
        <f ca="1">SUM(F12:F13)</f>
        <v>225.12846850210394</v>
      </c>
      <c r="G14" s="638">
        <f ca="1">SUM(G12:G13)</f>
        <v>231.79862184301555</v>
      </c>
      <c r="H14" s="638">
        <f ca="1">SUM(H12:H13)</f>
        <v>239.66107975515922</v>
      </c>
      <c r="I14" s="638">
        <f ca="1">SUM(I12:I13)</f>
        <v>245.5065576845725</v>
      </c>
    </row>
    <row r="15" spans="2:9">
      <c r="B15" s="11"/>
      <c r="C15" s="14"/>
      <c r="D15" s="24"/>
      <c r="E15" s="639"/>
      <c r="F15" s="355"/>
      <c r="G15" s="355"/>
      <c r="H15" s="355"/>
      <c r="I15" s="355"/>
    </row>
    <row r="16" spans="2:9">
      <c r="B16" s="134">
        <v>2</v>
      </c>
      <c r="C16" s="135" t="s">
        <v>483</v>
      </c>
      <c r="D16" s="23"/>
      <c r="E16" s="639"/>
      <c r="F16" s="355"/>
      <c r="G16" s="355"/>
      <c r="H16" s="355"/>
      <c r="I16" s="355"/>
    </row>
    <row r="17" spans="2:10">
      <c r="B17" s="43">
        <f>+B16+0.1</f>
        <v>2.1</v>
      </c>
      <c r="C17" s="133" t="s">
        <v>484</v>
      </c>
      <c r="D17" s="313">
        <v>9.0999999999999998E-2</v>
      </c>
      <c r="E17" s="709">
        <f ca="1">E14*$D$17</f>
        <v>19.361905153754773</v>
      </c>
      <c r="F17" s="709">
        <f t="shared" ref="F17:I17" ca="1" si="1">F14*$D$17</f>
        <v>20.48669063369146</v>
      </c>
      <c r="G17" s="709">
        <f t="shared" ca="1" si="1"/>
        <v>21.093674587714414</v>
      </c>
      <c r="H17" s="709">
        <f t="shared" ca="1" si="1"/>
        <v>21.809158257719488</v>
      </c>
      <c r="I17" s="709">
        <f t="shared" ca="1" si="1"/>
        <v>22.341096749296096</v>
      </c>
      <c r="J17" s="710"/>
    </row>
    <row r="18" spans="2:10">
      <c r="B18" s="43">
        <f>+B17+0.1</f>
        <v>2.2000000000000002</v>
      </c>
      <c r="C18" s="135" t="s">
        <v>33</v>
      </c>
      <c r="D18" s="25"/>
      <c r="E18" s="355">
        <f ca="1">E17</f>
        <v>19.361905153754773</v>
      </c>
      <c r="F18" s="355">
        <f t="shared" ref="F18:I18" ca="1" si="2">F17</f>
        <v>20.48669063369146</v>
      </c>
      <c r="G18" s="355">
        <f t="shared" ca="1" si="2"/>
        <v>21.093674587714414</v>
      </c>
      <c r="H18" s="355">
        <f t="shared" ca="1" si="2"/>
        <v>21.809158257719488</v>
      </c>
      <c r="I18" s="355">
        <f t="shared" ca="1" si="2"/>
        <v>22.341096749296096</v>
      </c>
    </row>
    <row r="19" spans="2:10">
      <c r="B19" s="23"/>
      <c r="C19" s="23"/>
      <c r="D19" s="23"/>
      <c r="E19" s="25"/>
      <c r="F19" s="25"/>
      <c r="G19" s="25"/>
      <c r="H19" s="25"/>
      <c r="I19" s="25"/>
    </row>
    <row r="20" spans="2:10">
      <c r="E20" s="607">
        <f ca="1">'F1 '!E21-'F1 '!E17-'F1 '!E13</f>
        <v>828.42517786036967</v>
      </c>
      <c r="F20" s="607">
        <f ca="1">'F1 '!F21-'F1 '!F17-'F1 '!F13</f>
        <v>870.73261108680299</v>
      </c>
      <c r="G20" s="607">
        <f ca="1">'F1 '!G21-'F1 '!G17-'F1 '!G13</f>
        <v>880.54291177499442</v>
      </c>
      <c r="H20" s="607">
        <f ca="1">'F1 '!H21-'F1 '!H17-'F1 '!H13</f>
        <v>897.85174343242409</v>
      </c>
      <c r="I20" s="607">
        <f ca="1">'F1 '!I21-'F1 '!I17-'F1 '!I13</f>
        <v>896.88922834807022</v>
      </c>
    </row>
    <row r="21" spans="2:10" s="19" customFormat="1">
      <c r="B21" s="66"/>
      <c r="C21" s="27" t="s">
        <v>485</v>
      </c>
      <c r="D21" s="27"/>
      <c r="E21" s="607"/>
      <c r="F21" s="607"/>
      <c r="G21" s="607"/>
      <c r="H21" s="607"/>
      <c r="I21" s="607"/>
    </row>
    <row r="22" spans="2:10" s="19" customFormat="1">
      <c r="B22" s="34"/>
      <c r="C22" s="27"/>
      <c r="D22" s="67"/>
      <c r="E22" s="607"/>
      <c r="F22" s="607"/>
      <c r="G22" s="607"/>
      <c r="H22" s="607"/>
      <c r="I22" s="607"/>
    </row>
    <row r="23" spans="2:10" s="19" customFormat="1" ht="15" hidden="1" customHeight="1">
      <c r="B23" s="34"/>
      <c r="C23" s="836"/>
      <c r="D23" s="836"/>
      <c r="E23" s="607"/>
      <c r="F23" s="607"/>
      <c r="G23" s="607"/>
      <c r="H23" s="607"/>
      <c r="I23" s="607"/>
    </row>
  </sheetData>
  <mergeCells count="5">
    <mergeCell ref="B8:B9"/>
    <mergeCell ref="E8:I8"/>
    <mergeCell ref="C23:D23"/>
    <mergeCell ref="D8:D9"/>
    <mergeCell ref="C8:C9"/>
  </mergeCells>
  <pageMargins left="1.0236220472440944" right="0.23622047244094491" top="0.98425196850393704" bottom="0.98425196850393704" header="0.23622047244094491" footer="0.23622047244094491"/>
  <pageSetup paperSize="9" scale="63" orientation="landscape" r:id="rId1"/>
  <headerFooter alignWithMargins="0">
    <oddHeader>&amp;F</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L16"/>
  <sheetViews>
    <sheetView showGridLines="0" view="pageBreakPreview" zoomScale="40" zoomScaleNormal="44" zoomScaleSheetLayoutView="80" workbookViewId="0">
      <selection activeCell="F13" sqref="F13"/>
    </sheetView>
  </sheetViews>
  <sheetFormatPr defaultColWidth="9.140625" defaultRowHeight="13.9"/>
  <cols>
    <col min="1" max="1" width="6.85546875" style="73" customWidth="1"/>
    <col min="2" max="2" width="6.5703125" style="231" customWidth="1"/>
    <col min="3" max="3" width="49" style="73" customWidth="1"/>
    <col min="4" max="5" width="14.140625" style="73" customWidth="1"/>
    <col min="6" max="7" width="12.85546875" style="73" customWidth="1"/>
    <col min="8" max="20" width="13.85546875" style="73" customWidth="1"/>
    <col min="21" max="16384" width="9.140625" style="73"/>
  </cols>
  <sheetData>
    <row r="1" spans="2:12">
      <c r="C1" s="232"/>
      <c r="D1" s="232"/>
      <c r="E1" s="232"/>
    </row>
    <row r="2" spans="2:12">
      <c r="C2" s="232"/>
      <c r="D2" s="232"/>
      <c r="E2" s="232"/>
      <c r="F2" s="229" t="s">
        <v>486</v>
      </c>
      <c r="G2" s="229"/>
    </row>
    <row r="3" spans="2:12">
      <c r="C3" s="232"/>
      <c r="D3" s="232"/>
      <c r="E3" s="232"/>
      <c r="F3" s="228" t="s">
        <v>487</v>
      </c>
      <c r="G3" s="228"/>
    </row>
    <row r="4" spans="2:12">
      <c r="C4" s="232"/>
      <c r="D4" s="232"/>
      <c r="E4" s="232"/>
      <c r="F4" s="230" t="s">
        <v>488</v>
      </c>
      <c r="G4" s="230"/>
    </row>
    <row r="6" spans="2:12">
      <c r="C6" s="233"/>
      <c r="D6" s="233"/>
      <c r="E6" s="233"/>
      <c r="F6" s="234"/>
      <c r="G6" s="234"/>
      <c r="H6" s="234"/>
      <c r="I6" s="234"/>
      <c r="J6" s="234"/>
      <c r="K6" s="234"/>
      <c r="L6" s="234"/>
    </row>
    <row r="8" spans="2:12">
      <c r="B8" s="73"/>
    </row>
    <row r="9" spans="2:12" ht="27.6">
      <c r="B9" s="153" t="s">
        <v>2</v>
      </c>
      <c r="C9" s="153" t="s">
        <v>53</v>
      </c>
      <c r="D9" s="154" t="s">
        <v>489</v>
      </c>
      <c r="E9" s="154" t="s">
        <v>56</v>
      </c>
      <c r="F9" s="154" t="s">
        <v>57</v>
      </c>
      <c r="G9" s="153" t="s">
        <v>58</v>
      </c>
      <c r="H9" s="153" t="s">
        <v>59</v>
      </c>
      <c r="I9" s="153" t="s">
        <v>60</v>
      </c>
    </row>
    <row r="10" spans="2:12">
      <c r="B10" s="172">
        <v>1</v>
      </c>
      <c r="C10" s="235" t="s">
        <v>490</v>
      </c>
      <c r="D10" s="236" t="s">
        <v>102</v>
      </c>
      <c r="E10" s="317"/>
      <c r="F10" s="317"/>
      <c r="G10" s="317"/>
      <c r="H10" s="317"/>
      <c r="I10" s="317"/>
    </row>
    <row r="11" spans="2:12">
      <c r="B11" s="172"/>
      <c r="C11" s="238"/>
      <c r="D11" s="238"/>
      <c r="E11" s="235"/>
      <c r="F11" s="237"/>
      <c r="G11" s="237"/>
      <c r="H11" s="235"/>
      <c r="I11" s="237"/>
    </row>
    <row r="12" spans="2:12">
      <c r="B12" s="172">
        <v>2</v>
      </c>
      <c r="C12" s="235" t="s">
        <v>491</v>
      </c>
      <c r="D12" s="236" t="s">
        <v>103</v>
      </c>
      <c r="E12" s="317">
        <v>0.14000000000000001</v>
      </c>
      <c r="F12" s="317">
        <v>0.14000000000000001</v>
      </c>
      <c r="G12" s="317">
        <v>0.14000000000000001</v>
      </c>
      <c r="H12" s="317">
        <v>0.14000000000000001</v>
      </c>
      <c r="I12" s="317">
        <v>0.14000000000000001</v>
      </c>
    </row>
    <row r="13" spans="2:12">
      <c r="B13" s="172">
        <v>3</v>
      </c>
      <c r="C13" s="238" t="s">
        <v>492</v>
      </c>
      <c r="D13" s="239" t="s">
        <v>493</v>
      </c>
      <c r="E13" s="385">
        <f>E12/(1-E10)</f>
        <v>0.14000000000000001</v>
      </c>
      <c r="F13" s="385">
        <f t="shared" ref="F13:I13" si="0">F12/(1-F10)</f>
        <v>0.14000000000000001</v>
      </c>
      <c r="G13" s="385">
        <f t="shared" si="0"/>
        <v>0.14000000000000001</v>
      </c>
      <c r="H13" s="385">
        <f t="shared" si="0"/>
        <v>0.14000000000000001</v>
      </c>
      <c r="I13" s="385">
        <f t="shared" si="0"/>
        <v>0.14000000000000001</v>
      </c>
    </row>
    <row r="14" spans="2:12">
      <c r="B14" s="73"/>
      <c r="E14" s="386"/>
      <c r="F14" s="386"/>
      <c r="G14" s="386"/>
      <c r="H14" s="386"/>
      <c r="I14" s="386"/>
    </row>
    <row r="15" spans="2:12">
      <c r="B15" s="73"/>
      <c r="C15" s="838" t="s">
        <v>494</v>
      </c>
      <c r="D15" s="839"/>
      <c r="E15" s="839"/>
      <c r="F15" s="839"/>
      <c r="G15" s="839"/>
      <c r="H15" s="839"/>
      <c r="I15" s="839"/>
      <c r="J15" s="839"/>
      <c r="K15" s="839"/>
    </row>
    <row r="16" spans="2:12">
      <c r="B16" s="73"/>
      <c r="C16" s="73" t="s">
        <v>495</v>
      </c>
    </row>
  </sheetData>
  <mergeCells count="1">
    <mergeCell ref="C15:K15"/>
  </mergeCells>
  <pageMargins left="1.1200000000000001" right="0.27" top="1.24" bottom="1" header="0.5" footer="0.5"/>
  <pageSetup paperSize="9" scale="6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7"/>
  <dimension ref="A2:O47"/>
  <sheetViews>
    <sheetView showGridLines="0" view="pageBreakPreview" topLeftCell="A25" zoomScale="76" zoomScaleNormal="75" zoomScaleSheetLayoutView="100" workbookViewId="0">
      <selection activeCell="F21" sqref="F21"/>
    </sheetView>
  </sheetViews>
  <sheetFormatPr defaultColWidth="9.140625" defaultRowHeight="13.9"/>
  <cols>
    <col min="1" max="1" width="6.42578125" style="3" customWidth="1"/>
    <col min="2" max="2" width="8.42578125" style="3" customWidth="1"/>
    <col min="3" max="3" width="57.42578125" style="3" bestFit="1" customWidth="1"/>
    <col min="4" max="6" width="17.42578125" style="3" customWidth="1"/>
    <col min="7" max="7" width="16.85546875" style="3" customWidth="1"/>
    <col min="8" max="10" width="16.5703125" style="3" customWidth="1"/>
    <col min="11" max="12" width="15.5703125" style="3" customWidth="1"/>
    <col min="13" max="13" width="9.140625" style="3"/>
    <col min="14" max="14" width="36.5703125" style="3" bestFit="1" customWidth="1"/>
    <col min="15" max="16384" width="9.140625" style="3"/>
  </cols>
  <sheetData>
    <row r="2" spans="2:12">
      <c r="I2" s="52" t="s">
        <v>0</v>
      </c>
    </row>
    <row r="3" spans="2:12">
      <c r="I3" s="55" t="s">
        <v>496</v>
      </c>
    </row>
    <row r="4" spans="2:12">
      <c r="B4" s="138"/>
      <c r="C4" s="16"/>
      <c r="D4" s="16"/>
      <c r="E4" s="16"/>
      <c r="F4" s="16"/>
      <c r="G4" s="16"/>
      <c r="H4" s="16"/>
      <c r="I4" s="139" t="s">
        <v>497</v>
      </c>
      <c r="J4" s="16"/>
      <c r="K4" s="16"/>
      <c r="L4" s="16"/>
    </row>
    <row r="5" spans="2:12">
      <c r="L5" s="16" t="s">
        <v>52</v>
      </c>
    </row>
    <row r="6" spans="2:12" s="17" customFormat="1" ht="27" customHeight="1">
      <c r="B6" s="753" t="s">
        <v>447</v>
      </c>
      <c r="C6" s="753" t="s">
        <v>53</v>
      </c>
      <c r="D6" s="827" t="s">
        <v>99</v>
      </c>
      <c r="E6" s="828"/>
      <c r="F6" s="829"/>
      <c r="G6" s="827" t="s">
        <v>100</v>
      </c>
      <c r="H6" s="828"/>
      <c r="I6" s="829"/>
      <c r="J6" s="827" t="s">
        <v>101</v>
      </c>
      <c r="K6" s="828"/>
      <c r="L6" s="829"/>
    </row>
    <row r="7" spans="2:12" s="17" customFormat="1" ht="44.1" customHeight="1">
      <c r="B7" s="753"/>
      <c r="C7" s="753"/>
      <c r="D7" s="153" t="s">
        <v>498</v>
      </c>
      <c r="E7" s="153" t="s">
        <v>499</v>
      </c>
      <c r="F7" s="153" t="s">
        <v>500</v>
      </c>
      <c r="G7" s="153" t="s">
        <v>498</v>
      </c>
      <c r="H7" s="153" t="s">
        <v>499</v>
      </c>
      <c r="I7" s="153" t="s">
        <v>500</v>
      </c>
      <c r="J7" s="153" t="s">
        <v>498</v>
      </c>
      <c r="K7" s="153" t="s">
        <v>382</v>
      </c>
      <c r="L7" s="153" t="s">
        <v>501</v>
      </c>
    </row>
    <row r="8" spans="2:12" s="17" customFormat="1">
      <c r="B8" s="113"/>
      <c r="C8" s="113"/>
      <c r="D8" s="153" t="s">
        <v>102</v>
      </c>
      <c r="E8" s="153" t="s">
        <v>103</v>
      </c>
      <c r="F8" s="153" t="s">
        <v>502</v>
      </c>
      <c r="G8" s="153" t="s">
        <v>105</v>
      </c>
      <c r="H8" s="153" t="s">
        <v>411</v>
      </c>
      <c r="I8" s="153" t="s">
        <v>503</v>
      </c>
      <c r="J8" s="153" t="s">
        <v>108</v>
      </c>
      <c r="K8" s="153" t="s">
        <v>504</v>
      </c>
      <c r="L8" s="153" t="s">
        <v>505</v>
      </c>
    </row>
    <row r="9" spans="2:12" s="17" customFormat="1">
      <c r="B9" s="26">
        <v>1</v>
      </c>
      <c r="C9" s="41" t="s">
        <v>506</v>
      </c>
      <c r="D9" s="41"/>
      <c r="E9" s="41"/>
      <c r="F9" s="41"/>
      <c r="G9" s="23"/>
      <c r="H9" s="23"/>
      <c r="I9" s="23"/>
      <c r="J9" s="23"/>
      <c r="K9" s="23"/>
      <c r="L9" s="23"/>
    </row>
    <row r="10" spans="2:12" s="17" customFormat="1">
      <c r="B10" s="61">
        <f>B9+1</f>
        <v>2</v>
      </c>
      <c r="C10" s="41" t="s">
        <v>507</v>
      </c>
      <c r="D10" s="41"/>
      <c r="E10" s="41"/>
      <c r="F10" s="41"/>
      <c r="G10" s="23"/>
      <c r="H10" s="23"/>
      <c r="I10" s="23"/>
      <c r="J10" s="23"/>
      <c r="K10" s="23"/>
      <c r="L10" s="23"/>
    </row>
    <row r="11" spans="2:12" s="17" customFormat="1" ht="27.6">
      <c r="B11" s="61">
        <f t="shared" ref="B11:B19" si="0">B10+1</f>
        <v>3</v>
      </c>
      <c r="C11" s="41" t="s">
        <v>508</v>
      </c>
      <c r="D11" s="41"/>
      <c r="E11" s="41"/>
      <c r="F11" s="41"/>
      <c r="G11" s="23"/>
      <c r="H11" s="23"/>
      <c r="I11" s="23"/>
      <c r="J11" s="23"/>
      <c r="K11" s="23"/>
      <c r="L11" s="23"/>
    </row>
    <row r="12" spans="2:12" s="17" customFormat="1">
      <c r="B12" s="61">
        <f t="shared" si="0"/>
        <v>4</v>
      </c>
      <c r="C12" s="41" t="s">
        <v>509</v>
      </c>
      <c r="D12" s="41"/>
      <c r="E12" s="41"/>
      <c r="F12" s="41"/>
      <c r="G12" s="23"/>
      <c r="H12" s="23"/>
      <c r="I12" s="23"/>
      <c r="J12" s="23"/>
      <c r="K12" s="23"/>
      <c r="L12" s="23"/>
    </row>
    <row r="13" spans="2:12" s="17" customFormat="1" ht="27.6">
      <c r="B13" s="61">
        <f t="shared" si="0"/>
        <v>5</v>
      </c>
      <c r="C13" s="42" t="s">
        <v>510</v>
      </c>
      <c r="D13" s="42"/>
      <c r="E13" s="42"/>
      <c r="F13" s="42"/>
      <c r="G13" s="23"/>
      <c r="H13" s="23"/>
      <c r="I13" s="23"/>
      <c r="J13" s="23"/>
      <c r="K13" s="23"/>
      <c r="L13" s="23"/>
    </row>
    <row r="14" spans="2:12" s="17" customFormat="1">
      <c r="B14" s="61">
        <f t="shared" si="0"/>
        <v>6</v>
      </c>
      <c r="C14" s="41" t="s">
        <v>511</v>
      </c>
      <c r="D14" s="41"/>
      <c r="E14" s="41"/>
      <c r="F14" s="41"/>
      <c r="G14" s="23"/>
      <c r="H14" s="23"/>
      <c r="I14" s="23"/>
      <c r="J14" s="23"/>
      <c r="K14" s="23"/>
      <c r="L14" s="23"/>
    </row>
    <row r="15" spans="2:12" s="17" customFormat="1">
      <c r="B15" s="61"/>
      <c r="C15" s="41"/>
      <c r="D15" s="41"/>
      <c r="E15" s="41"/>
      <c r="F15" s="41"/>
      <c r="G15" s="23"/>
      <c r="H15" s="23"/>
      <c r="I15" s="23"/>
      <c r="J15" s="23"/>
      <c r="K15" s="23"/>
      <c r="L15" s="23"/>
    </row>
    <row r="16" spans="2:12" s="17" customFormat="1">
      <c r="B16" s="61"/>
      <c r="C16" s="63" t="s">
        <v>512</v>
      </c>
      <c r="D16" s="63"/>
      <c r="E16" s="63"/>
      <c r="F16" s="63"/>
      <c r="G16" s="23"/>
      <c r="H16" s="23"/>
      <c r="I16" s="23"/>
      <c r="J16" s="23"/>
      <c r="K16" s="23"/>
      <c r="L16" s="23"/>
    </row>
    <row r="17" spans="1:15" s="17" customFormat="1">
      <c r="B17" s="61">
        <v>7</v>
      </c>
      <c r="C17" s="62" t="s">
        <v>513</v>
      </c>
      <c r="D17" s="62"/>
      <c r="E17" s="62"/>
      <c r="F17" s="62"/>
      <c r="G17" s="23"/>
      <c r="H17" s="23"/>
      <c r="I17" s="23"/>
      <c r="J17" s="23"/>
      <c r="K17" s="23"/>
      <c r="L17" s="23"/>
    </row>
    <row r="18" spans="1:15" s="17" customFormat="1">
      <c r="B18" s="61">
        <f t="shared" si="0"/>
        <v>8</v>
      </c>
      <c r="C18" s="62" t="s">
        <v>514</v>
      </c>
      <c r="D18" s="62"/>
      <c r="E18" s="62"/>
      <c r="F18" s="62"/>
      <c r="G18" s="23"/>
      <c r="H18" s="23"/>
      <c r="I18" s="23"/>
      <c r="J18" s="23"/>
      <c r="K18" s="23"/>
      <c r="L18" s="23"/>
    </row>
    <row r="19" spans="1:15" s="17" customFormat="1">
      <c r="B19" s="61">
        <f t="shared" si="0"/>
        <v>9</v>
      </c>
      <c r="C19" s="63" t="s">
        <v>515</v>
      </c>
      <c r="D19" s="63"/>
      <c r="E19" s="63"/>
      <c r="F19" s="63"/>
      <c r="G19" s="23"/>
      <c r="H19" s="23"/>
      <c r="I19" s="23"/>
      <c r="J19" s="23"/>
      <c r="K19" s="23"/>
      <c r="L19" s="23"/>
    </row>
    <row r="21" spans="1:15">
      <c r="B21" s="73" t="s">
        <v>516</v>
      </c>
    </row>
    <row r="25" spans="1:15">
      <c r="A25" s="73"/>
      <c r="B25" s="73"/>
      <c r="C25" s="73"/>
      <c r="D25" s="73"/>
      <c r="E25" s="73"/>
      <c r="F25" s="73"/>
      <c r="G25" s="73"/>
      <c r="H25" s="73"/>
      <c r="I25" s="73"/>
      <c r="J25" s="73"/>
      <c r="K25" s="73"/>
      <c r="L25" s="73"/>
      <c r="M25" s="73"/>
    </row>
    <row r="26" spans="1:15" ht="55.5" customHeight="1">
      <c r="A26" s="73"/>
      <c r="B26" s="841" t="s">
        <v>517</v>
      </c>
      <c r="C26" s="841"/>
      <c r="D26" s="841"/>
      <c r="E26" s="841"/>
      <c r="F26" s="841"/>
      <c r="G26" s="841"/>
      <c r="H26" s="841"/>
      <c r="I26" s="841"/>
      <c r="J26" s="841"/>
      <c r="K26" s="841"/>
      <c r="L26" s="841"/>
      <c r="M26" s="841"/>
    </row>
    <row r="27" spans="1:15">
      <c r="A27" s="73"/>
      <c r="B27" s="73"/>
      <c r="C27" s="73"/>
      <c r="D27" s="73"/>
      <c r="E27" s="73"/>
      <c r="F27" s="73"/>
      <c r="G27" s="73"/>
      <c r="H27" s="73"/>
      <c r="I27" s="73"/>
      <c r="J27" s="73"/>
      <c r="K27" s="73"/>
      <c r="L27" s="73"/>
      <c r="M27" s="73"/>
    </row>
    <row r="28" spans="1:15">
      <c r="A28" s="73"/>
      <c r="B28" s="73"/>
      <c r="C28" s="73"/>
      <c r="D28" s="73"/>
      <c r="E28" s="73"/>
      <c r="F28" s="73"/>
      <c r="G28" s="73"/>
      <c r="H28" s="73"/>
      <c r="I28" s="83" t="s">
        <v>52</v>
      </c>
      <c r="J28" s="73"/>
      <c r="K28" s="73"/>
      <c r="L28" s="73"/>
      <c r="M28" s="73"/>
    </row>
    <row r="29" spans="1:15" ht="13.7" customHeight="1">
      <c r="A29" s="73"/>
      <c r="B29" s="788" t="s">
        <v>447</v>
      </c>
      <c r="C29" s="788" t="s">
        <v>53</v>
      </c>
      <c r="D29" s="827" t="s">
        <v>449</v>
      </c>
      <c r="E29" s="828"/>
      <c r="F29" s="828"/>
      <c r="G29" s="828"/>
      <c r="H29" s="829"/>
      <c r="I29" s="788" t="s">
        <v>55</v>
      </c>
      <c r="J29" s="73"/>
      <c r="K29" s="73"/>
      <c r="L29" s="73"/>
      <c r="M29" s="73"/>
      <c r="N29" s="73"/>
      <c r="O29" s="73"/>
    </row>
    <row r="30" spans="1:15">
      <c r="A30" s="73"/>
      <c r="B30" s="789"/>
      <c r="C30" s="789"/>
      <c r="D30" s="153" t="s">
        <v>56</v>
      </c>
      <c r="E30" s="153" t="s">
        <v>57</v>
      </c>
      <c r="F30" s="153" t="s">
        <v>58</v>
      </c>
      <c r="G30" s="153" t="s">
        <v>59</v>
      </c>
      <c r="H30" s="153" t="s">
        <v>60</v>
      </c>
      <c r="I30" s="789"/>
      <c r="J30" s="73"/>
      <c r="K30" s="73"/>
      <c r="L30" s="73"/>
      <c r="M30" s="73"/>
      <c r="N30" s="73"/>
      <c r="O30" s="73"/>
    </row>
    <row r="31" spans="1:15">
      <c r="A31" s="73"/>
      <c r="B31" s="830"/>
      <c r="C31" s="830"/>
      <c r="D31" s="153" t="s">
        <v>61</v>
      </c>
      <c r="E31" s="153" t="s">
        <v>61</v>
      </c>
      <c r="F31" s="153" t="s">
        <v>61</v>
      </c>
      <c r="G31" s="153" t="s">
        <v>61</v>
      </c>
      <c r="H31" s="153" t="s">
        <v>61</v>
      </c>
      <c r="I31" s="830"/>
      <c r="J31" s="73"/>
      <c r="K31" s="73"/>
      <c r="L31" s="73"/>
      <c r="M31" s="73"/>
      <c r="N31" s="73"/>
      <c r="O31" s="73"/>
    </row>
    <row r="32" spans="1:15">
      <c r="A32" s="73"/>
      <c r="B32" s="173">
        <v>1</v>
      </c>
      <c r="C32" s="174" t="s">
        <v>518</v>
      </c>
      <c r="D32" s="318">
        <v>0</v>
      </c>
      <c r="E32" s="318">
        <f>D36</f>
        <v>59.928660000000001</v>
      </c>
      <c r="F32" s="318">
        <f t="shared" ref="F32:H32" si="1">E36</f>
        <v>68.928660000000008</v>
      </c>
      <c r="G32" s="318">
        <f t="shared" si="1"/>
        <v>80.928660000000008</v>
      </c>
      <c r="H32" s="318">
        <f t="shared" si="1"/>
        <v>107.92866000000001</v>
      </c>
      <c r="I32" s="124"/>
      <c r="J32" s="643">
        <f>(0+D32)/2</f>
        <v>0</v>
      </c>
      <c r="K32" s="643">
        <f>(J32+E32)/2</f>
        <v>29.96433</v>
      </c>
      <c r="L32" s="73"/>
      <c r="M32" s="73"/>
      <c r="N32" s="73"/>
      <c r="O32" s="73"/>
    </row>
    <row r="33" spans="1:15">
      <c r="A33" s="73"/>
      <c r="B33" s="173">
        <f>B32+1</f>
        <v>2</v>
      </c>
      <c r="C33" s="174" t="s">
        <v>519</v>
      </c>
      <c r="D33" s="318">
        <f>'F3'!D10</f>
        <v>199.76220000000001</v>
      </c>
      <c r="E33" s="318">
        <f>'F3'!E12</f>
        <v>30</v>
      </c>
      <c r="F33" s="318">
        <f>'F3'!F12</f>
        <v>40</v>
      </c>
      <c r="G33" s="318">
        <f>'F3'!G12</f>
        <v>90</v>
      </c>
      <c r="H33" s="318">
        <f>'F3'!H12</f>
        <v>0</v>
      </c>
      <c r="I33" s="124"/>
      <c r="J33" s="73"/>
      <c r="K33" s="73"/>
      <c r="L33" s="73"/>
      <c r="M33" s="73"/>
      <c r="N33" s="73"/>
      <c r="O33" s="73"/>
    </row>
    <row r="34" spans="1:15">
      <c r="A34" s="73"/>
      <c r="B34" s="173">
        <f t="shared" ref="B34:B43" si="2">B33+1</f>
        <v>3</v>
      </c>
      <c r="C34" s="174" t="s">
        <v>520</v>
      </c>
      <c r="D34" s="318">
        <f>D33*30%</f>
        <v>59.928660000000001</v>
      </c>
      <c r="E34" s="318">
        <f t="shared" ref="E34:H34" si="3">E33*30%</f>
        <v>9</v>
      </c>
      <c r="F34" s="318">
        <f t="shared" si="3"/>
        <v>12</v>
      </c>
      <c r="G34" s="318">
        <f t="shared" si="3"/>
        <v>27</v>
      </c>
      <c r="H34" s="318">
        <f t="shared" si="3"/>
        <v>0</v>
      </c>
      <c r="I34" s="124"/>
      <c r="J34" s="73"/>
      <c r="K34" s="73"/>
      <c r="L34" s="73"/>
      <c r="M34" s="73"/>
      <c r="N34" s="73"/>
      <c r="O34" s="73"/>
    </row>
    <row r="35" spans="1:15" ht="27.6">
      <c r="A35" s="73"/>
      <c r="B35" s="175">
        <f t="shared" si="2"/>
        <v>4</v>
      </c>
      <c r="C35" s="176" t="s">
        <v>510</v>
      </c>
      <c r="D35" s="318">
        <v>0</v>
      </c>
      <c r="E35" s="318">
        <v>0</v>
      </c>
      <c r="F35" s="318">
        <v>0</v>
      </c>
      <c r="G35" s="318">
        <v>0</v>
      </c>
      <c r="H35" s="318">
        <v>0</v>
      </c>
      <c r="I35" s="124"/>
      <c r="J35" s="73"/>
      <c r="K35" s="73"/>
      <c r="L35" s="73"/>
      <c r="M35" s="73"/>
      <c r="N35" s="73"/>
      <c r="O35" s="73"/>
    </row>
    <row r="36" spans="1:15">
      <c r="A36" s="73"/>
      <c r="B36" s="173">
        <f t="shared" si="2"/>
        <v>5</v>
      </c>
      <c r="C36" s="174" t="s">
        <v>511</v>
      </c>
      <c r="D36" s="318">
        <f>D32+D34-D35</f>
        <v>59.928660000000001</v>
      </c>
      <c r="E36" s="318">
        <f t="shared" ref="E36:H36" si="4">E32+E34-E35</f>
        <v>68.928660000000008</v>
      </c>
      <c r="F36" s="318">
        <f t="shared" si="4"/>
        <v>80.928660000000008</v>
      </c>
      <c r="G36" s="318">
        <f t="shared" si="4"/>
        <v>107.92866000000001</v>
      </c>
      <c r="H36" s="318">
        <f t="shared" si="4"/>
        <v>107.92866000000001</v>
      </c>
      <c r="I36" s="124"/>
      <c r="J36" s="73"/>
      <c r="K36" s="73"/>
      <c r="L36" s="73"/>
      <c r="M36" s="73"/>
      <c r="N36" s="73"/>
      <c r="O36" s="73"/>
    </row>
    <row r="37" spans="1:15">
      <c r="A37" s="73"/>
      <c r="B37" s="173"/>
      <c r="C37" s="174"/>
      <c r="D37" s="124"/>
      <c r="E37" s="124"/>
      <c r="F37" s="124"/>
      <c r="G37" s="124"/>
      <c r="H37" s="124"/>
      <c r="I37" s="124"/>
      <c r="J37" s="73"/>
      <c r="K37" s="73"/>
      <c r="L37" s="73"/>
      <c r="M37" s="73"/>
      <c r="N37" s="73"/>
      <c r="O37" s="73"/>
    </row>
    <row r="38" spans="1:15">
      <c r="A38" s="73"/>
      <c r="B38" s="173"/>
      <c r="C38" s="177" t="s">
        <v>512</v>
      </c>
      <c r="D38" s="124"/>
      <c r="E38" s="124"/>
      <c r="F38" s="124"/>
      <c r="G38" s="124"/>
      <c r="H38" s="124"/>
      <c r="I38" s="124"/>
      <c r="J38" s="73"/>
      <c r="K38" s="73"/>
      <c r="L38" s="73"/>
      <c r="M38" s="73"/>
      <c r="N38" s="73"/>
      <c r="O38" s="73"/>
    </row>
    <row r="39" spans="1:15">
      <c r="A39" s="73"/>
      <c r="B39" s="173">
        <v>6</v>
      </c>
      <c r="C39" s="174" t="s">
        <v>521</v>
      </c>
      <c r="D39" s="320">
        <f>'F7'!E12</f>
        <v>0.14000000000000001</v>
      </c>
      <c r="E39" s="320">
        <f>'F7'!F12</f>
        <v>0.14000000000000001</v>
      </c>
      <c r="F39" s="320">
        <f>'F7'!G12</f>
        <v>0.14000000000000001</v>
      </c>
      <c r="G39" s="320">
        <f>'F7'!H12</f>
        <v>0.14000000000000001</v>
      </c>
      <c r="H39" s="320">
        <f>'F7'!I12</f>
        <v>0.14000000000000001</v>
      </c>
      <c r="I39" s="320"/>
      <c r="J39" s="73"/>
      <c r="K39" s="73"/>
      <c r="L39" s="73"/>
      <c r="M39" s="73"/>
      <c r="N39" s="73"/>
      <c r="O39" s="73"/>
    </row>
    <row r="40" spans="1:15" ht="27.6">
      <c r="A40" s="73"/>
      <c r="B40" s="173">
        <v>7</v>
      </c>
      <c r="C40" s="174" t="s">
        <v>522</v>
      </c>
      <c r="D40" s="387"/>
      <c r="E40" s="387"/>
      <c r="F40" s="387"/>
      <c r="G40" s="387"/>
      <c r="H40" s="387"/>
      <c r="I40" s="124"/>
      <c r="J40" s="73"/>
      <c r="K40" s="73"/>
      <c r="L40" s="73"/>
      <c r="M40" s="73"/>
      <c r="N40" s="73"/>
      <c r="O40" s="73"/>
    </row>
    <row r="41" spans="1:15">
      <c r="A41" s="73"/>
      <c r="B41" s="173">
        <v>8</v>
      </c>
      <c r="C41" s="174" t="s">
        <v>523</v>
      </c>
      <c r="D41" s="318">
        <f>D32*D39</f>
        <v>0</v>
      </c>
      <c r="E41" s="318">
        <f>E32*E39</f>
        <v>8.3900124000000016</v>
      </c>
      <c r="F41" s="318">
        <f t="shared" ref="F41:H41" si="5">F32*F39</f>
        <v>9.6500124000000014</v>
      </c>
      <c r="G41" s="318">
        <f t="shared" si="5"/>
        <v>11.330012400000003</v>
      </c>
      <c r="H41" s="318">
        <f t="shared" si="5"/>
        <v>15.110012400000002</v>
      </c>
      <c r="I41" s="124"/>
      <c r="J41" s="73"/>
      <c r="K41" s="73"/>
      <c r="L41" s="73"/>
      <c r="M41" s="73"/>
      <c r="N41" s="73"/>
      <c r="O41" s="73"/>
    </row>
    <row r="42" spans="1:15">
      <c r="A42" s="73"/>
      <c r="B42" s="173">
        <f t="shared" si="2"/>
        <v>9</v>
      </c>
      <c r="C42" s="174" t="s">
        <v>524</v>
      </c>
      <c r="D42" s="336">
        <f>D34*D39/2</f>
        <v>4.1950062000000008</v>
      </c>
      <c r="E42" s="336">
        <f>E34*E39/2</f>
        <v>0.63000000000000012</v>
      </c>
      <c r="F42" s="336">
        <f>F34*F39/2</f>
        <v>0.84000000000000008</v>
      </c>
      <c r="G42" s="336">
        <f t="shared" ref="G42:H42" si="6">G34*G39/2</f>
        <v>1.8900000000000001</v>
      </c>
      <c r="H42" s="336">
        <f t="shared" si="6"/>
        <v>0</v>
      </c>
      <c r="I42" s="124"/>
      <c r="J42" s="73"/>
      <c r="K42" s="73"/>
      <c r="L42" s="73"/>
      <c r="M42" s="73"/>
      <c r="N42" s="73"/>
      <c r="O42" s="73"/>
    </row>
    <row r="43" spans="1:15">
      <c r="A43" s="73"/>
      <c r="B43" s="173">
        <f t="shared" si="2"/>
        <v>10</v>
      </c>
      <c r="C43" s="177" t="s">
        <v>515</v>
      </c>
      <c r="D43" s="336">
        <f>SUM(D41:D42)</f>
        <v>4.1950062000000008</v>
      </c>
      <c r="E43" s="336">
        <f>SUM(E41:E42)</f>
        <v>9.0200124000000024</v>
      </c>
      <c r="F43" s="336">
        <f t="shared" ref="F43:H43" si="7">SUM(F41:F42)</f>
        <v>10.490012400000001</v>
      </c>
      <c r="G43" s="336">
        <f t="shared" si="7"/>
        <v>13.220012400000003</v>
      </c>
      <c r="H43" s="336">
        <f t="shared" si="7"/>
        <v>15.110012400000002</v>
      </c>
      <c r="I43" s="124"/>
      <c r="J43" s="73"/>
      <c r="K43" s="73"/>
      <c r="L43" s="73"/>
      <c r="M43" s="73"/>
      <c r="N43" s="73"/>
      <c r="O43" s="73"/>
    </row>
    <row r="44" spans="1:15">
      <c r="A44" s="73"/>
      <c r="B44" s="73"/>
      <c r="C44" s="73"/>
      <c r="D44" s="73"/>
      <c r="E44" s="73"/>
      <c r="F44" s="73"/>
      <c r="G44" s="73"/>
      <c r="H44" s="73"/>
      <c r="I44" s="73"/>
      <c r="J44" s="73"/>
      <c r="K44" s="73"/>
      <c r="L44" s="73"/>
      <c r="M44" s="73"/>
      <c r="N44" s="73"/>
      <c r="O44" s="73"/>
    </row>
    <row r="45" spans="1:15">
      <c r="A45" s="73"/>
      <c r="B45" s="73"/>
      <c r="C45" s="839" t="s">
        <v>525</v>
      </c>
      <c r="D45" s="839"/>
      <c r="E45" s="839"/>
      <c r="F45" s="839"/>
      <c r="G45" s="839"/>
      <c r="H45" s="839"/>
      <c r="I45" s="839"/>
      <c r="J45" s="839"/>
      <c r="K45" s="839"/>
      <c r="L45" s="839"/>
      <c r="M45" s="839"/>
      <c r="N45" s="73"/>
      <c r="O45" s="73"/>
    </row>
    <row r="46" spans="1:15">
      <c r="A46" s="73"/>
      <c r="B46" s="73"/>
      <c r="C46" s="840" t="s">
        <v>526</v>
      </c>
      <c r="D46" s="840"/>
      <c r="E46" s="840"/>
      <c r="F46" s="840"/>
      <c r="G46" s="840"/>
      <c r="H46" s="840"/>
      <c r="I46" s="840"/>
      <c r="J46" s="840"/>
      <c r="K46" s="840"/>
      <c r="L46" s="840"/>
      <c r="M46" s="840"/>
      <c r="N46" s="840"/>
      <c r="O46" s="840"/>
    </row>
    <row r="47" spans="1:15" ht="27.75" customHeight="1">
      <c r="A47" s="73"/>
      <c r="B47" s="73"/>
      <c r="C47" s="840" t="s">
        <v>527</v>
      </c>
      <c r="D47" s="840"/>
      <c r="E47" s="840"/>
      <c r="F47" s="840"/>
      <c r="G47" s="840"/>
      <c r="H47" s="840"/>
      <c r="I47" s="840"/>
      <c r="J47" s="840"/>
      <c r="K47" s="840"/>
      <c r="L47" s="840"/>
      <c r="M47" s="840"/>
      <c r="N47" s="840"/>
      <c r="O47" s="840"/>
    </row>
  </sheetData>
  <mergeCells count="13">
    <mergeCell ref="C45:M45"/>
    <mergeCell ref="C46:O46"/>
    <mergeCell ref="C47:O47"/>
    <mergeCell ref="B26:M26"/>
    <mergeCell ref="B29:B31"/>
    <mergeCell ref="C29:C31"/>
    <mergeCell ref="D29:H29"/>
    <mergeCell ref="I29:I31"/>
    <mergeCell ref="B6:B7"/>
    <mergeCell ref="C6:C7"/>
    <mergeCell ref="G6:I6"/>
    <mergeCell ref="J6:L6"/>
    <mergeCell ref="D6:F6"/>
  </mergeCells>
  <phoneticPr fontId="0" type="noConversion"/>
  <pageMargins left="0.57999999999999996" right="0.25" top="1" bottom="1" header="0.25" footer="0.25"/>
  <pageSetup paperSize="9" scale="56" orientation="landscape" r:id="rId1"/>
  <headerFooter alignWithMargins="0">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O42"/>
  <sheetViews>
    <sheetView showGridLines="0" view="pageBreakPreview" topLeftCell="C2" zoomScale="97" zoomScaleNormal="30" zoomScaleSheetLayoutView="105" workbookViewId="0">
      <selection activeCell="F21" sqref="F21"/>
    </sheetView>
  </sheetViews>
  <sheetFormatPr defaultColWidth="9.140625" defaultRowHeight="13.9"/>
  <cols>
    <col min="1" max="1" width="6.85546875" style="3" customWidth="1"/>
    <col min="2" max="2" width="5.85546875" style="39" customWidth="1"/>
    <col min="3" max="3" width="63.5703125" style="3" bestFit="1" customWidth="1"/>
    <col min="4" max="4" width="19.140625" style="3" bestFit="1" customWidth="1"/>
    <col min="5" max="5" width="19.140625" style="3" customWidth="1"/>
    <col min="6" max="6" width="17" style="3" customWidth="1"/>
    <col min="7" max="9" width="18.5703125" style="3" customWidth="1"/>
    <col min="10" max="10" width="36.28515625" style="3" bestFit="1" customWidth="1"/>
    <col min="11" max="13" width="18.5703125" style="3" customWidth="1"/>
    <col min="14" max="14" width="16.5703125" style="3" customWidth="1"/>
    <col min="15" max="15" width="14.42578125" style="3" customWidth="1"/>
    <col min="16" max="16384" width="9.140625" style="3"/>
  </cols>
  <sheetData>
    <row r="2" spans="2:15" s="1" customFormat="1">
      <c r="B2" s="115"/>
      <c r="C2" s="8"/>
      <c r="D2" s="8"/>
      <c r="E2" s="8"/>
      <c r="F2" s="52" t="s">
        <v>0</v>
      </c>
      <c r="G2" s="8"/>
      <c r="H2" s="8"/>
      <c r="I2" s="8"/>
      <c r="J2" s="8"/>
      <c r="K2" s="8"/>
      <c r="L2" s="8"/>
      <c r="M2" s="8"/>
      <c r="N2" s="8"/>
      <c r="O2" s="8"/>
    </row>
    <row r="3" spans="2:15" s="1" customFormat="1">
      <c r="B3" s="115"/>
      <c r="C3" s="116"/>
      <c r="D3" s="116"/>
      <c r="E3" s="116"/>
      <c r="F3" s="55" t="s">
        <v>1</v>
      </c>
      <c r="G3" s="116"/>
      <c r="H3" s="116"/>
      <c r="I3" s="116"/>
      <c r="J3" s="116"/>
      <c r="K3" s="116"/>
      <c r="L3" s="116"/>
      <c r="M3" s="116"/>
      <c r="N3" s="116"/>
      <c r="O3" s="116"/>
    </row>
    <row r="4" spans="2:15" s="1" customFormat="1">
      <c r="B4" s="115"/>
      <c r="C4" s="8"/>
      <c r="D4" s="8"/>
      <c r="E4" s="8"/>
      <c r="F4" s="52" t="s">
        <v>51</v>
      </c>
      <c r="G4" s="8"/>
      <c r="H4" s="8"/>
      <c r="I4" s="8"/>
      <c r="J4" s="8"/>
      <c r="K4" s="8"/>
      <c r="L4" s="8"/>
      <c r="M4" s="8"/>
      <c r="N4" s="8"/>
      <c r="O4" s="8"/>
    </row>
    <row r="6" spans="2:15">
      <c r="J6" s="5" t="s">
        <v>52</v>
      </c>
    </row>
    <row r="7" spans="2:15" s="17" customFormat="1" ht="12.75" customHeight="1">
      <c r="B7" s="750" t="s">
        <v>2</v>
      </c>
      <c r="C7" s="753" t="s">
        <v>53</v>
      </c>
      <c r="D7" s="755" t="s">
        <v>4</v>
      </c>
      <c r="E7" s="748" t="s">
        <v>54</v>
      </c>
      <c r="F7" s="748"/>
      <c r="G7" s="748"/>
      <c r="H7" s="748"/>
      <c r="I7" s="748"/>
      <c r="J7" s="748" t="s">
        <v>55</v>
      </c>
    </row>
    <row r="8" spans="2:15" s="17" customFormat="1">
      <c r="B8" s="751"/>
      <c r="C8" s="753"/>
      <c r="D8" s="755"/>
      <c r="E8" s="153" t="s">
        <v>56</v>
      </c>
      <c r="F8" s="153" t="s">
        <v>57</v>
      </c>
      <c r="G8" s="153" t="s">
        <v>58</v>
      </c>
      <c r="H8" s="153" t="s">
        <v>59</v>
      </c>
      <c r="I8" s="153" t="s">
        <v>60</v>
      </c>
      <c r="J8" s="748"/>
    </row>
    <row r="9" spans="2:15" s="17" customFormat="1">
      <c r="B9" s="752"/>
      <c r="C9" s="754"/>
      <c r="D9" s="756"/>
      <c r="E9" s="153" t="s">
        <v>61</v>
      </c>
      <c r="F9" s="153" t="s">
        <v>61</v>
      </c>
      <c r="G9" s="153" t="s">
        <v>61</v>
      </c>
      <c r="H9" s="153" t="s">
        <v>61</v>
      </c>
      <c r="I9" s="153" t="s">
        <v>61</v>
      </c>
      <c r="J9" s="749"/>
    </row>
    <row r="10" spans="2:15">
      <c r="B10" s="117">
        <v>1</v>
      </c>
      <c r="C10" s="57" t="s">
        <v>62</v>
      </c>
      <c r="D10" s="56" t="s">
        <v>8</v>
      </c>
      <c r="E10" s="295">
        <f>'F2'!E14</f>
        <v>1310.5804952430417</v>
      </c>
      <c r="F10" s="295">
        <f>'F2'!F14</f>
        <v>1395.4427053950428</v>
      </c>
      <c r="G10" s="295">
        <f>'F2'!G14</f>
        <v>1460.7690944536951</v>
      </c>
      <c r="H10" s="295">
        <f>'F2'!H14</f>
        <v>1529.1553419132747</v>
      </c>
      <c r="I10" s="295">
        <f>'F2'!I14</f>
        <v>1600.7448496927643</v>
      </c>
      <c r="J10" s="4"/>
    </row>
    <row r="11" spans="2:15">
      <c r="B11" s="117">
        <f>B10+1</f>
        <v>2</v>
      </c>
      <c r="C11" s="57" t="s">
        <v>63</v>
      </c>
      <c r="D11" s="56" t="s">
        <v>26</v>
      </c>
      <c r="E11" s="399">
        <f>'F4'!E41</f>
        <v>53.848298773015827</v>
      </c>
      <c r="F11" s="319">
        <f>'F4'!I41</f>
        <v>58.610203534920586</v>
      </c>
      <c r="G11" s="319">
        <f>'F4'!M41</f>
        <v>64.959409884126941</v>
      </c>
      <c r="H11" s="319">
        <f>'F4'!Q41</f>
        <v>79.245124184126936</v>
      </c>
      <c r="I11" s="319">
        <f>'F4'!U41</f>
        <v>77.748609739682493</v>
      </c>
      <c r="J11" s="677"/>
    </row>
    <row r="12" spans="2:15">
      <c r="B12" s="117">
        <f t="shared" ref="B12:B20" si="0">B11+1</f>
        <v>3</v>
      </c>
      <c r="C12" s="57" t="s">
        <v>31</v>
      </c>
      <c r="D12" s="56" t="s">
        <v>32</v>
      </c>
      <c r="E12" s="318">
        <f>'F5'!D23</f>
        <v>4.0241092894228592</v>
      </c>
      <c r="F12" s="318">
        <f>'F5'!E23</f>
        <v>6.2880610534114343</v>
      </c>
      <c r="G12" s="318">
        <f>'F5'!F23</f>
        <v>2.7982031454000107</v>
      </c>
      <c r="H12" s="318">
        <f>'F5'!G23</f>
        <v>0.53425138141143569</v>
      </c>
      <c r="I12" s="318">
        <f>'F5'!H23</f>
        <v>0</v>
      </c>
      <c r="J12" s="4"/>
    </row>
    <row r="13" spans="2:15">
      <c r="B13" s="117">
        <f t="shared" si="0"/>
        <v>4</v>
      </c>
      <c r="C13" s="58" t="s">
        <v>64</v>
      </c>
      <c r="D13" s="56" t="s">
        <v>34</v>
      </c>
      <c r="E13" s="318">
        <f ca="1">'F6'!E18</f>
        <v>19.361905153754773</v>
      </c>
      <c r="F13" s="318">
        <f ca="1">'F6'!F18</f>
        <v>20.48669063369146</v>
      </c>
      <c r="G13" s="318">
        <f ca="1">'F6'!G18</f>
        <v>21.093674587714414</v>
      </c>
      <c r="H13" s="318">
        <f ca="1">'F6'!H18</f>
        <v>21.809158257719488</v>
      </c>
      <c r="I13" s="318">
        <f ca="1">'F6'!I18</f>
        <v>22.341096749296096</v>
      </c>
      <c r="J13" s="4"/>
    </row>
    <row r="14" spans="2:15">
      <c r="B14" s="117">
        <f t="shared" si="0"/>
        <v>5</v>
      </c>
      <c r="C14" s="57" t="s">
        <v>35</v>
      </c>
      <c r="D14" s="56" t="s">
        <v>36</v>
      </c>
      <c r="E14" s="338" t="s">
        <v>65</v>
      </c>
      <c r="F14" s="338" t="s">
        <v>65</v>
      </c>
      <c r="G14" s="338" t="s">
        <v>65</v>
      </c>
      <c r="H14" s="338" t="s">
        <v>65</v>
      </c>
      <c r="I14" s="338" t="s">
        <v>65</v>
      </c>
      <c r="J14" s="4"/>
    </row>
    <row r="15" spans="2:15" s="16" customFormat="1">
      <c r="B15" s="117">
        <f t="shared" si="0"/>
        <v>6</v>
      </c>
      <c r="C15" s="59" t="s">
        <v>66</v>
      </c>
      <c r="D15" s="60"/>
      <c r="E15" s="296">
        <f ca="1">SUM(E10:E14)</f>
        <v>1387.8148084592351</v>
      </c>
      <c r="F15" s="296">
        <f t="shared" ref="F15:I15" ca="1" si="1">SUM(F10:F14)</f>
        <v>1480.8276606170664</v>
      </c>
      <c r="G15" s="296">
        <f t="shared" ca="1" si="1"/>
        <v>1549.6203820709363</v>
      </c>
      <c r="H15" s="296">
        <f t="shared" ca="1" si="1"/>
        <v>1630.7438757365326</v>
      </c>
      <c r="I15" s="296">
        <f t="shared" ca="1" si="1"/>
        <v>1700.834556181743</v>
      </c>
      <c r="J15" s="4"/>
    </row>
    <row r="16" spans="2:15">
      <c r="B16" s="117">
        <f t="shared" si="0"/>
        <v>7</v>
      </c>
      <c r="C16" s="57" t="s">
        <v>67</v>
      </c>
      <c r="D16" s="56" t="s">
        <v>38</v>
      </c>
      <c r="E16" s="318">
        <f>'F8'!D43</f>
        <v>4.1950062000000008</v>
      </c>
      <c r="F16" s="318">
        <f>'F8'!E43</f>
        <v>9.0200124000000024</v>
      </c>
      <c r="G16" s="318">
        <f>'F8'!F43</f>
        <v>10.490012400000001</v>
      </c>
      <c r="H16" s="318">
        <f>'F8'!G43</f>
        <v>13.220012400000003</v>
      </c>
      <c r="I16" s="318">
        <f>'F8'!H43</f>
        <v>15.110012400000002</v>
      </c>
      <c r="J16" s="4"/>
    </row>
    <row r="17" spans="2:13">
      <c r="B17" s="117">
        <v>8</v>
      </c>
      <c r="C17" s="57" t="s">
        <v>68</v>
      </c>
      <c r="D17" s="56" t="s">
        <v>69</v>
      </c>
      <c r="E17" s="374">
        <f ca="1">3%*E21</f>
        <v>26.220219062292504</v>
      </c>
      <c r="F17" s="374">
        <f ca="1">3%*F21</f>
        <v>27.563483558365803</v>
      </c>
      <c r="G17" s="374">
        <f ca="1">3%*G21</f>
        <v>27.885667619465224</v>
      </c>
      <c r="H17" s="374">
        <f ca="1">3%*H21</f>
        <v>28.443120670829181</v>
      </c>
      <c r="I17" s="374">
        <f ca="1">3%*I21</f>
        <v>28.429803868990707</v>
      </c>
      <c r="J17" s="4"/>
    </row>
    <row r="18" spans="2:13">
      <c r="B18" s="117">
        <f t="shared" si="0"/>
        <v>9</v>
      </c>
      <c r="C18" s="59" t="s">
        <v>70</v>
      </c>
      <c r="D18" s="56"/>
      <c r="E18" s="337">
        <f ca="1">SUM(E16:E17)</f>
        <v>30.415225262292505</v>
      </c>
      <c r="F18" s="337">
        <f t="shared" ref="F18:I18" ca="1" si="2">SUM(F16:F17)</f>
        <v>36.583495958365802</v>
      </c>
      <c r="G18" s="337">
        <f t="shared" ca="1" si="2"/>
        <v>38.375680019465221</v>
      </c>
      <c r="H18" s="337">
        <f t="shared" ca="1" si="2"/>
        <v>41.663133070829183</v>
      </c>
      <c r="I18" s="337">
        <f t="shared" ca="1" si="2"/>
        <v>43.539816268990705</v>
      </c>
      <c r="J18" s="4"/>
    </row>
    <row r="19" spans="2:13">
      <c r="B19" s="117">
        <v>9</v>
      </c>
      <c r="C19" s="57" t="s">
        <v>71</v>
      </c>
      <c r="D19" s="56" t="s">
        <v>40</v>
      </c>
      <c r="E19" s="289">
        <f>'F9'!D15</f>
        <v>0.30859949999999997</v>
      </c>
      <c r="F19" s="289">
        <f>'F9'!E15</f>
        <v>0.32282593695</v>
      </c>
      <c r="G19" s="289">
        <f>'F9'!F15</f>
        <v>0.33770821264339501</v>
      </c>
      <c r="H19" s="289">
        <f>'F9'!G15</f>
        <v>0.3532765612462555</v>
      </c>
      <c r="I19" s="289">
        <f>'F9'!H15</f>
        <v>0.36956261071970792</v>
      </c>
      <c r="J19" s="4"/>
    </row>
    <row r="20" spans="2:13">
      <c r="B20" s="117">
        <f t="shared" si="0"/>
        <v>10</v>
      </c>
      <c r="C20" s="57" t="s">
        <v>72</v>
      </c>
      <c r="D20" s="56" t="s">
        <v>73</v>
      </c>
      <c r="E20" s="295">
        <f>F9A!D12</f>
        <v>543.9141321451109</v>
      </c>
      <c r="F20" s="295">
        <f>F9A!E12</f>
        <v>598.30554535962199</v>
      </c>
      <c r="G20" s="295">
        <f>F9A!F12</f>
        <v>658.13609989558427</v>
      </c>
      <c r="H20" s="295">
        <f>F9A!G12</f>
        <v>723.94970988514274</v>
      </c>
      <c r="I20" s="295">
        <f>F9A!H12</f>
        <v>796.34468087365713</v>
      </c>
      <c r="J20" s="365"/>
    </row>
    <row r="21" spans="2:13">
      <c r="B21" s="117">
        <v>11</v>
      </c>
      <c r="C21" s="59" t="s">
        <v>74</v>
      </c>
      <c r="D21" s="57"/>
      <c r="E21" s="297">
        <f ca="1">E15+E18-E19-E20</f>
        <v>874.00730207641686</v>
      </c>
      <c r="F21" s="297">
        <f ca="1">F15+F18-F19-F20</f>
        <v>918.78278527886016</v>
      </c>
      <c r="G21" s="297">
        <f ca="1">G15+G18-G19-G20</f>
        <v>929.52225398217411</v>
      </c>
      <c r="H21" s="297">
        <f ca="1">H15+H18-H19-H20</f>
        <v>948.10402236097275</v>
      </c>
      <c r="I21" s="297">
        <f ca="1">I15+I18-I19-I20</f>
        <v>947.66012896635698</v>
      </c>
      <c r="J21" s="4"/>
    </row>
    <row r="22" spans="2:13">
      <c r="B22" s="118"/>
      <c r="C22" s="119"/>
      <c r="D22" s="120"/>
      <c r="E22" s="339"/>
      <c r="F22" s="339"/>
      <c r="G22" s="339"/>
      <c r="H22" s="339"/>
      <c r="I22" s="339"/>
      <c r="J22" s="120"/>
      <c r="K22" s="120"/>
      <c r="L22" s="120"/>
      <c r="M22" s="120"/>
    </row>
    <row r="23" spans="2:13">
      <c r="B23" s="679"/>
      <c r="E23" s="680"/>
      <c r="F23" s="680"/>
      <c r="G23" s="680"/>
      <c r="H23" s="680"/>
      <c r="I23" s="680"/>
    </row>
    <row r="24" spans="2:13">
      <c r="C24" s="120"/>
      <c r="E24" s="397"/>
      <c r="F24" s="397"/>
      <c r="G24" s="397"/>
      <c r="H24" s="397"/>
      <c r="I24" s="397"/>
    </row>
    <row r="25" spans="2:13">
      <c r="E25" s="681"/>
      <c r="F25" s="681"/>
      <c r="G25" s="681"/>
      <c r="H25" s="681"/>
      <c r="I25" s="681"/>
      <c r="J25" s="1"/>
    </row>
    <row r="26" spans="2:13">
      <c r="E26" s="397"/>
      <c r="F26" s="397"/>
      <c r="G26" s="397"/>
      <c r="H26" s="397"/>
      <c r="I26" s="397"/>
    </row>
    <row r="27" spans="2:13">
      <c r="E27" s="311"/>
      <c r="F27" s="311"/>
      <c r="G27" s="311"/>
      <c r="H27" s="311"/>
      <c r="I27" s="311"/>
    </row>
    <row r="28" spans="2:13">
      <c r="E28" s="397"/>
      <c r="F28" s="397"/>
      <c r="G28" s="397"/>
      <c r="H28" s="397"/>
      <c r="I28" s="397"/>
    </row>
    <row r="29" spans="2:13">
      <c r="E29" s="398"/>
      <c r="F29" s="398"/>
      <c r="G29" s="398"/>
      <c r="H29" s="398"/>
      <c r="I29" s="398"/>
    </row>
    <row r="30" spans="2:13">
      <c r="E30" s="397"/>
      <c r="F30" s="397"/>
      <c r="G30" s="397"/>
      <c r="H30" s="397"/>
      <c r="I30" s="397"/>
    </row>
    <row r="31" spans="2:13">
      <c r="E31" s="397"/>
      <c r="F31" s="397"/>
      <c r="G31" s="397"/>
      <c r="H31" s="397"/>
      <c r="I31" s="397"/>
    </row>
    <row r="32" spans="2:13">
      <c r="E32" s="397"/>
      <c r="F32" s="397"/>
      <c r="G32" s="397"/>
      <c r="H32" s="397"/>
      <c r="I32" s="397"/>
    </row>
    <row r="33" spans="5:9">
      <c r="E33" s="397"/>
      <c r="F33" s="397"/>
      <c r="G33" s="397"/>
      <c r="H33" s="397"/>
      <c r="I33" s="397"/>
    </row>
    <row r="34" spans="5:9">
      <c r="E34" s="396"/>
      <c r="F34" s="396"/>
      <c r="G34" s="396"/>
      <c r="H34" s="396"/>
      <c r="I34" s="396"/>
    </row>
    <row r="35" spans="5:9">
      <c r="E35" s="396"/>
      <c r="F35" s="397"/>
      <c r="G35" s="397"/>
      <c r="H35" s="397"/>
      <c r="I35" s="397"/>
    </row>
    <row r="36" spans="5:9">
      <c r="E36" s="383"/>
      <c r="F36" s="354"/>
      <c r="G36" s="354"/>
      <c r="H36" s="354"/>
      <c r="I36" s="354"/>
    </row>
    <row r="37" spans="5:9">
      <c r="E37" s="311"/>
    </row>
    <row r="38" spans="5:9">
      <c r="E38" s="311"/>
    </row>
    <row r="39" spans="5:9">
      <c r="E39" s="311"/>
    </row>
    <row r="40" spans="5:9">
      <c r="E40" s="384"/>
    </row>
    <row r="41" spans="5:9">
      <c r="E41" s="384"/>
    </row>
    <row r="42" spans="5:9">
      <c r="E42" s="311"/>
    </row>
  </sheetData>
  <mergeCells count="5">
    <mergeCell ref="E7:I7"/>
    <mergeCell ref="J7:J9"/>
    <mergeCell ref="B7:B9"/>
    <mergeCell ref="C7:C9"/>
    <mergeCell ref="D7:D9"/>
  </mergeCells>
  <phoneticPr fontId="0" type="noConversion"/>
  <printOptions verticalCentered="1"/>
  <pageMargins left="0.23622047244094491" right="0.23622047244094491" top="0.23622047244094491" bottom="0.23622047244094491" header="0.23622047244094491" footer="0.23622047244094491"/>
  <pageSetup paperSize="9" scale="60" orientation="landscape" r:id="rId1"/>
  <headerFooter alignWithMargins="0">
    <oddHeader>&amp;F</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33"/>
  <sheetViews>
    <sheetView showGridLines="0" view="pageBreakPreview" topLeftCell="A2" zoomScale="44" zoomScaleNormal="50" zoomScaleSheetLayoutView="67" workbookViewId="0">
      <selection activeCell="E17" sqref="E17"/>
    </sheetView>
  </sheetViews>
  <sheetFormatPr defaultColWidth="9.140625" defaultRowHeight="13.9"/>
  <cols>
    <col min="1" max="1" width="27.28515625" style="1" bestFit="1" customWidth="1"/>
    <col min="2" max="2" width="13.5703125" style="1" bestFit="1" customWidth="1"/>
    <col min="3" max="3" width="57.42578125" style="1" customWidth="1"/>
    <col min="4" max="4" width="13.85546875" style="1" customWidth="1"/>
    <col min="5" max="5" width="16.42578125" style="1" customWidth="1"/>
    <col min="6" max="8" width="15.5703125" style="1" customWidth="1"/>
    <col min="9" max="9" width="103.28515625" style="1" customWidth="1"/>
    <col min="10" max="14" width="15.5703125" style="1" customWidth="1"/>
    <col min="15" max="16384" width="9.140625" style="1"/>
  </cols>
  <sheetData>
    <row r="1" spans="2:14">
      <c r="B1" s="6"/>
    </row>
    <row r="2" spans="2:14">
      <c r="B2" s="53"/>
      <c r="C2" s="496"/>
      <c r="D2" s="496"/>
      <c r="E2" s="52" t="s">
        <v>0</v>
      </c>
      <c r="F2" s="496"/>
      <c r="G2" s="496"/>
      <c r="H2" s="496"/>
      <c r="I2" s="496"/>
      <c r="J2" s="496"/>
      <c r="K2" s="496"/>
      <c r="L2" s="496"/>
      <c r="M2" s="496"/>
      <c r="N2" s="496"/>
    </row>
    <row r="3" spans="2:14">
      <c r="B3" s="53"/>
      <c r="C3" s="496"/>
      <c r="D3" s="496"/>
      <c r="E3" s="55" t="s">
        <v>1</v>
      </c>
      <c r="F3" s="496"/>
      <c r="G3" s="496"/>
      <c r="H3" s="496"/>
      <c r="I3" s="496"/>
      <c r="J3" s="496"/>
      <c r="K3" s="496"/>
      <c r="L3" s="496"/>
      <c r="M3" s="496"/>
      <c r="N3" s="496"/>
    </row>
    <row r="4" spans="2:14">
      <c r="C4" s="496"/>
      <c r="D4" s="496"/>
      <c r="E4" s="44" t="s">
        <v>528</v>
      </c>
      <c r="F4" s="496"/>
      <c r="G4" s="496"/>
      <c r="H4" s="496"/>
      <c r="I4" s="496"/>
      <c r="J4" s="496"/>
      <c r="K4" s="496"/>
      <c r="L4" s="496"/>
      <c r="M4" s="496"/>
      <c r="N4" s="496"/>
    </row>
    <row r="5" spans="2:14">
      <c r="B5" s="2"/>
      <c r="C5" s="2"/>
      <c r="D5" s="2"/>
    </row>
    <row r="6" spans="2:14">
      <c r="C6" s="7"/>
      <c r="D6" s="7"/>
      <c r="G6" s="8"/>
      <c r="I6" s="8" t="s">
        <v>52</v>
      </c>
    </row>
    <row r="7" spans="2:14" s="54" customFormat="1">
      <c r="B7" s="750" t="s">
        <v>2</v>
      </c>
      <c r="C7" s="753" t="s">
        <v>53</v>
      </c>
      <c r="D7" s="748" t="s">
        <v>54</v>
      </c>
      <c r="E7" s="748"/>
      <c r="F7" s="748"/>
      <c r="G7" s="748"/>
      <c r="H7" s="748"/>
      <c r="I7" s="748" t="s">
        <v>55</v>
      </c>
    </row>
    <row r="8" spans="2:14" s="54" customFormat="1">
      <c r="B8" s="751"/>
      <c r="C8" s="753"/>
      <c r="D8" s="153" t="s">
        <v>56</v>
      </c>
      <c r="E8" s="153" t="s">
        <v>57</v>
      </c>
      <c r="F8" s="153" t="s">
        <v>58</v>
      </c>
      <c r="G8" s="153" t="s">
        <v>59</v>
      </c>
      <c r="H8" s="153" t="s">
        <v>60</v>
      </c>
      <c r="I8" s="748"/>
    </row>
    <row r="9" spans="2:14" s="54" customFormat="1" ht="28.5" customHeight="1">
      <c r="B9" s="758"/>
      <c r="C9" s="844"/>
      <c r="D9" s="153" t="s">
        <v>61</v>
      </c>
      <c r="E9" s="153" t="s">
        <v>61</v>
      </c>
      <c r="F9" s="153" t="s">
        <v>61</v>
      </c>
      <c r="G9" s="153" t="s">
        <v>61</v>
      </c>
      <c r="H9" s="153" t="s">
        <v>61</v>
      </c>
      <c r="I9" s="843"/>
    </row>
    <row r="10" spans="2:14" s="8" customFormat="1" ht="15.75" customHeight="1">
      <c r="B10" s="43">
        <v>1</v>
      </c>
      <c r="C10" s="14" t="s">
        <v>529</v>
      </c>
      <c r="D10" s="4">
        <v>0</v>
      </c>
      <c r="E10" s="4">
        <v>0</v>
      </c>
      <c r="F10" s="4">
        <v>0</v>
      </c>
      <c r="G10" s="4">
        <v>0</v>
      </c>
      <c r="H10" s="4">
        <v>0</v>
      </c>
      <c r="I10" s="4"/>
    </row>
    <row r="11" spans="2:14" s="8" customFormat="1" ht="15.75" customHeight="1">
      <c r="B11" s="43">
        <v>2</v>
      </c>
      <c r="C11" s="14" t="s">
        <v>530</v>
      </c>
      <c r="D11" s="4">
        <v>0</v>
      </c>
      <c r="E11" s="4">
        <v>0</v>
      </c>
      <c r="F11" s="4">
        <v>0</v>
      </c>
      <c r="G11" s="4">
        <v>0</v>
      </c>
      <c r="H11" s="4">
        <v>0</v>
      </c>
      <c r="I11" s="4"/>
    </row>
    <row r="12" spans="2:14" s="8" customFormat="1" ht="15.75" customHeight="1">
      <c r="B12" s="43">
        <v>3</v>
      </c>
      <c r="C12" s="14" t="s">
        <v>531</v>
      </c>
      <c r="D12" s="4">
        <v>0</v>
      </c>
      <c r="E12" s="4">
        <v>0</v>
      </c>
      <c r="F12" s="4">
        <v>0</v>
      </c>
      <c r="G12" s="4">
        <v>0</v>
      </c>
      <c r="H12" s="4">
        <v>0</v>
      </c>
      <c r="I12" s="4"/>
    </row>
    <row r="13" spans="2:14" s="8" customFormat="1" ht="15.75" customHeight="1">
      <c r="B13" s="43">
        <v>4</v>
      </c>
      <c r="C13" s="10" t="s">
        <v>532</v>
      </c>
      <c r="D13" s="4">
        <v>0</v>
      </c>
      <c r="E13" s="4">
        <v>0</v>
      </c>
      <c r="F13" s="4">
        <v>0</v>
      </c>
      <c r="G13" s="4">
        <v>0</v>
      </c>
      <c r="H13" s="4">
        <v>0</v>
      </c>
      <c r="I13" s="4"/>
    </row>
    <row r="14" spans="2:14" s="8" customFormat="1" ht="53.65" customHeight="1">
      <c r="B14" s="43">
        <v>5</v>
      </c>
      <c r="C14" s="571" t="s">
        <v>533</v>
      </c>
      <c r="D14" s="290">
        <v>0.30859949999999997</v>
      </c>
      <c r="E14" s="290">
        <v>0.32282593695</v>
      </c>
      <c r="F14" s="290">
        <v>0.33770821264339501</v>
      </c>
      <c r="G14" s="290">
        <v>0.3532765612462555</v>
      </c>
      <c r="H14" s="290">
        <v>0.36956261071970792</v>
      </c>
      <c r="I14" s="365" t="s">
        <v>534</v>
      </c>
    </row>
    <row r="15" spans="2:14">
      <c r="B15" s="43"/>
      <c r="C15" s="13" t="s">
        <v>219</v>
      </c>
      <c r="D15" s="291">
        <f t="shared" ref="D15:H15" si="0">SUM(D10:D14)</f>
        <v>0.30859949999999997</v>
      </c>
      <c r="E15" s="291">
        <f t="shared" si="0"/>
        <v>0.32282593695</v>
      </c>
      <c r="F15" s="291">
        <f t="shared" si="0"/>
        <v>0.33770821264339501</v>
      </c>
      <c r="G15" s="291">
        <f t="shared" si="0"/>
        <v>0.3532765612462555</v>
      </c>
      <c r="H15" s="291">
        <f t="shared" si="0"/>
        <v>0.36956261071970792</v>
      </c>
      <c r="I15" s="4"/>
    </row>
    <row r="16" spans="2:14">
      <c r="C16" s="9"/>
      <c r="D16" s="9"/>
    </row>
    <row r="17" spans="1:9">
      <c r="B17" s="836"/>
      <c r="C17" s="836"/>
      <c r="D17" s="836"/>
      <c r="E17" s="1">
        <f>E15/D15*100</f>
        <v>104.61</v>
      </c>
    </row>
    <row r="21" spans="1:9">
      <c r="D21" s="52"/>
      <c r="E21" s="52"/>
      <c r="F21" s="52"/>
      <c r="G21" s="52"/>
      <c r="H21" s="52"/>
      <c r="I21" s="52"/>
    </row>
    <row r="22" spans="1:9">
      <c r="D22" s="115"/>
      <c r="E22" s="115"/>
      <c r="F22" s="115"/>
      <c r="G22" s="288"/>
      <c r="H22" s="288"/>
      <c r="I22" s="288"/>
    </row>
    <row r="23" spans="1:9" ht="41.45">
      <c r="A23" s="153" t="s">
        <v>53</v>
      </c>
      <c r="B23" s="153" t="s">
        <v>96</v>
      </c>
      <c r="C23" s="153" t="s">
        <v>97</v>
      </c>
      <c r="D23" s="153" t="s">
        <v>98</v>
      </c>
      <c r="E23" s="153" t="s">
        <v>99</v>
      </c>
      <c r="F23" s="153" t="s">
        <v>100</v>
      </c>
      <c r="G23" s="153" t="s">
        <v>101</v>
      </c>
      <c r="H23" s="153" t="s">
        <v>535</v>
      </c>
    </row>
    <row r="24" spans="1:9">
      <c r="A24" s="259" t="s">
        <v>536</v>
      </c>
      <c r="B24" s="259" t="s">
        <v>367</v>
      </c>
      <c r="C24" s="259" t="s">
        <v>65</v>
      </c>
      <c r="D24" s="259" t="s">
        <v>65</v>
      </c>
      <c r="E24" s="259">
        <v>1180</v>
      </c>
      <c r="F24" s="259">
        <v>53690</v>
      </c>
      <c r="G24" s="259">
        <v>17700</v>
      </c>
      <c r="H24" s="842">
        <f>AVERAGE(E25:G25)</f>
        <v>5</v>
      </c>
    </row>
    <row r="25" spans="1:9">
      <c r="A25" s="259" t="s">
        <v>537</v>
      </c>
      <c r="B25" s="259" t="s">
        <v>367</v>
      </c>
      <c r="C25" s="259" t="s">
        <v>65</v>
      </c>
      <c r="D25" s="259" t="s">
        <v>65</v>
      </c>
      <c r="E25" s="259">
        <v>2</v>
      </c>
      <c r="F25" s="259">
        <v>10</v>
      </c>
      <c r="G25" s="259">
        <v>3</v>
      </c>
      <c r="H25" s="842"/>
    </row>
    <row r="26" spans="1:9">
      <c r="A26" s="252"/>
      <c r="B26" s="252"/>
      <c r="C26" s="252"/>
      <c r="D26" s="252"/>
      <c r="E26" s="252"/>
      <c r="F26" s="252"/>
      <c r="G26" s="252"/>
      <c r="H26" s="252"/>
    </row>
    <row r="27" spans="1:9">
      <c r="A27" s="259" t="s">
        <v>536</v>
      </c>
      <c r="B27" s="257">
        <v>5000</v>
      </c>
      <c r="C27" s="497">
        <v>0.18</v>
      </c>
      <c r="D27" s="257">
        <f>B27+B27*C27</f>
        <v>5900</v>
      </c>
      <c r="E27" s="252"/>
      <c r="F27" s="252"/>
      <c r="G27" s="252"/>
      <c r="H27" s="252"/>
    </row>
    <row r="28" spans="1:9">
      <c r="A28" s="259" t="s">
        <v>538</v>
      </c>
      <c r="B28" s="257">
        <v>5</v>
      </c>
      <c r="C28" s="257" t="s">
        <v>539</v>
      </c>
      <c r="D28" s="393">
        <f>B28*D27</f>
        <v>29500</v>
      </c>
      <c r="E28" s="252"/>
      <c r="F28" s="252"/>
      <c r="G28" s="252"/>
      <c r="H28" s="252"/>
    </row>
    <row r="29" spans="1:9">
      <c r="A29" s="259"/>
      <c r="B29" s="257"/>
      <c r="C29" s="257"/>
      <c r="D29" s="498">
        <f>D28/100000</f>
        <v>0.29499999999999998</v>
      </c>
      <c r="E29" s="252"/>
      <c r="F29" s="252"/>
      <c r="G29" s="252"/>
      <c r="H29" s="252"/>
    </row>
    <row r="30" spans="1:9">
      <c r="A30" s="259" t="s">
        <v>540</v>
      </c>
      <c r="B30" s="499">
        <v>4.6100000000000002E-2</v>
      </c>
      <c r="C30" s="257"/>
      <c r="D30" s="257"/>
      <c r="E30" s="252"/>
      <c r="F30" s="252"/>
      <c r="G30" s="252"/>
      <c r="H30" s="252"/>
    </row>
    <row r="31" spans="1:9">
      <c r="A31" s="252"/>
      <c r="B31" s="252"/>
      <c r="C31" s="252"/>
      <c r="D31" s="252"/>
      <c r="E31" s="252"/>
      <c r="F31" s="252"/>
      <c r="G31" s="252"/>
      <c r="H31" s="252"/>
    </row>
    <row r="32" spans="1:9">
      <c r="A32" s="252"/>
      <c r="B32" s="153" t="s">
        <v>56</v>
      </c>
      <c r="C32" s="153" t="s">
        <v>57</v>
      </c>
      <c r="D32" s="153" t="s">
        <v>58</v>
      </c>
      <c r="E32" s="153" t="s">
        <v>59</v>
      </c>
      <c r="F32" s="153" t="s">
        <v>60</v>
      </c>
      <c r="G32" s="252"/>
      <c r="H32" s="252"/>
    </row>
    <row r="33" spans="1:8">
      <c r="A33" s="500" t="s">
        <v>541</v>
      </c>
      <c r="B33" s="501">
        <f>D29*B30+D29</f>
        <v>0.30859949999999997</v>
      </c>
      <c r="C33" s="501">
        <f>B33*(1+$B$30)</f>
        <v>0.32282593695</v>
      </c>
      <c r="D33" s="501">
        <f t="shared" ref="D33:F33" si="1">C33*(1+$B$30)</f>
        <v>0.33770821264339501</v>
      </c>
      <c r="E33" s="501">
        <f t="shared" si="1"/>
        <v>0.3532765612462555</v>
      </c>
      <c r="F33" s="501">
        <f t="shared" si="1"/>
        <v>0.36956261071970792</v>
      </c>
      <c r="G33" s="252"/>
      <c r="H33" s="252"/>
    </row>
  </sheetData>
  <mergeCells count="6">
    <mergeCell ref="H24:H25"/>
    <mergeCell ref="B17:D17"/>
    <mergeCell ref="I7:I9"/>
    <mergeCell ref="B7:B9"/>
    <mergeCell ref="C7:C9"/>
    <mergeCell ref="D7:H7"/>
  </mergeCells>
  <phoneticPr fontId="0" type="noConversion"/>
  <pageMargins left="1.02" right="0.25" top="1" bottom="1" header="0.25" footer="0.25"/>
  <pageSetup paperSize="9" scale="40" orientation="landscape" r:id="rId1"/>
  <headerFooter alignWithMargins="0">
    <oddHeader>&amp;F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N69"/>
  <sheetViews>
    <sheetView showGridLines="0" view="pageBreakPreview" zoomScale="72" zoomScaleNormal="25" workbookViewId="0">
      <selection activeCell="F73" sqref="F73"/>
    </sheetView>
  </sheetViews>
  <sheetFormatPr defaultColWidth="9.140625" defaultRowHeight="13.9"/>
  <cols>
    <col min="1" max="1" width="6.140625" style="363" bestFit="1" customWidth="1"/>
    <col min="2" max="2" width="26.28515625" style="363" bestFit="1" customWidth="1"/>
    <col min="3" max="3" width="45.28515625" style="363" customWidth="1"/>
    <col min="4" max="4" width="13.85546875" style="363" customWidth="1"/>
    <col min="5" max="5" width="16.42578125" style="363" customWidth="1"/>
    <col min="6" max="8" width="15.5703125" style="363" customWidth="1"/>
    <col min="9" max="9" width="20.7109375" style="363" customWidth="1"/>
    <col min="10" max="14" width="15.5703125" style="363" customWidth="1"/>
    <col min="15" max="16384" width="9.140625" style="363"/>
  </cols>
  <sheetData>
    <row r="1" spans="2:14">
      <c r="B1" s="507"/>
    </row>
    <row r="2" spans="2:14">
      <c r="B2" s="550"/>
      <c r="C2" s="551"/>
      <c r="D2" s="551"/>
      <c r="E2" s="509" t="s">
        <v>0</v>
      </c>
      <c r="F2" s="551"/>
      <c r="G2" s="551"/>
      <c r="H2" s="551"/>
      <c r="I2" s="551"/>
      <c r="J2" s="551"/>
      <c r="K2" s="551"/>
      <c r="L2" s="551"/>
      <c r="M2" s="551"/>
      <c r="N2" s="551"/>
    </row>
    <row r="3" spans="2:14">
      <c r="B3" s="550"/>
      <c r="C3" s="551"/>
      <c r="D3" s="551"/>
      <c r="E3" s="511" t="s">
        <v>1</v>
      </c>
      <c r="F3" s="551"/>
      <c r="G3" s="551"/>
      <c r="H3" s="551"/>
      <c r="I3" s="551"/>
      <c r="J3" s="551"/>
      <c r="K3" s="551"/>
      <c r="L3" s="551"/>
      <c r="M3" s="551"/>
      <c r="N3" s="551"/>
    </row>
    <row r="4" spans="2:14">
      <c r="C4" s="551"/>
      <c r="D4" s="551"/>
      <c r="E4" s="552" t="s">
        <v>542</v>
      </c>
      <c r="F4" s="551"/>
      <c r="G4" s="551"/>
      <c r="H4" s="551"/>
      <c r="I4" s="551"/>
      <c r="J4" s="551"/>
      <c r="K4" s="551"/>
      <c r="L4" s="551"/>
      <c r="M4" s="551"/>
      <c r="N4" s="551"/>
    </row>
    <row r="5" spans="2:14">
      <c r="B5" s="508"/>
      <c r="C5" s="508"/>
      <c r="D5" s="508"/>
    </row>
    <row r="6" spans="2:14">
      <c r="C6" s="553"/>
      <c r="D6" s="553"/>
      <c r="G6" s="512"/>
      <c r="I6" s="512" t="s">
        <v>52</v>
      </c>
    </row>
    <row r="7" spans="2:14" s="554" customFormat="1">
      <c r="B7" s="854" t="s">
        <v>2</v>
      </c>
      <c r="C7" s="854" t="s">
        <v>53</v>
      </c>
      <c r="D7" s="849" t="s">
        <v>54</v>
      </c>
      <c r="E7" s="849"/>
      <c r="F7" s="849"/>
      <c r="G7" s="849"/>
      <c r="H7" s="849"/>
      <c r="I7" s="849" t="s">
        <v>55</v>
      </c>
    </row>
    <row r="8" spans="2:14" s="554" customFormat="1">
      <c r="B8" s="854"/>
      <c r="C8" s="854"/>
      <c r="D8" s="520" t="s">
        <v>56</v>
      </c>
      <c r="E8" s="520" t="s">
        <v>57</v>
      </c>
      <c r="F8" s="520" t="s">
        <v>58</v>
      </c>
      <c r="G8" s="520" t="s">
        <v>59</v>
      </c>
      <c r="H8" s="520" t="s">
        <v>60</v>
      </c>
      <c r="I8" s="849"/>
    </row>
    <row r="9" spans="2:14" s="554" customFormat="1" ht="28.5" customHeight="1" thickBot="1">
      <c r="B9" s="855"/>
      <c r="C9" s="855"/>
      <c r="D9" s="520" t="s">
        <v>61</v>
      </c>
      <c r="E9" s="520" t="s">
        <v>61</v>
      </c>
      <c r="F9" s="520" t="s">
        <v>61</v>
      </c>
      <c r="G9" s="520" t="s">
        <v>61</v>
      </c>
      <c r="H9" s="520" t="s">
        <v>61</v>
      </c>
      <c r="I9" s="853"/>
    </row>
    <row r="10" spans="2:14" s="512" customFormat="1" ht="15.75" customHeight="1">
      <c r="B10" s="570">
        <v>1</v>
      </c>
      <c r="C10" s="556" t="s">
        <v>543</v>
      </c>
      <c r="D10" s="856">
        <f>E49</f>
        <v>543.9141321451109</v>
      </c>
      <c r="E10" s="856">
        <f t="shared" ref="E10:H10" si="0">F49</f>
        <v>598.30554535962199</v>
      </c>
      <c r="F10" s="856">
        <f t="shared" si="0"/>
        <v>658.13609989558427</v>
      </c>
      <c r="G10" s="856">
        <f t="shared" si="0"/>
        <v>723.94970988514274</v>
      </c>
      <c r="H10" s="856">
        <f t="shared" si="0"/>
        <v>796.34468087365713</v>
      </c>
      <c r="I10" s="295"/>
    </row>
    <row r="11" spans="2:14" s="512" customFormat="1" ht="14.45" thickBot="1">
      <c r="B11" s="570">
        <v>2</v>
      </c>
      <c r="C11" s="557" t="s">
        <v>544</v>
      </c>
      <c r="D11" s="857"/>
      <c r="E11" s="857"/>
      <c r="F11" s="857"/>
      <c r="G11" s="857"/>
      <c r="H11" s="857"/>
      <c r="I11" s="295"/>
    </row>
    <row r="12" spans="2:14" ht="14.45" thickBot="1">
      <c r="B12" s="555"/>
      <c r="C12" s="558" t="s">
        <v>219</v>
      </c>
      <c r="D12" s="559">
        <f>SUM(D10)</f>
        <v>543.9141321451109</v>
      </c>
      <c r="E12" s="559">
        <f t="shared" ref="E12:H12" si="1">SUM(E10)</f>
        <v>598.30554535962199</v>
      </c>
      <c r="F12" s="559">
        <f t="shared" si="1"/>
        <v>658.13609989558427</v>
      </c>
      <c r="G12" s="559">
        <f t="shared" si="1"/>
        <v>723.94970988514274</v>
      </c>
      <c r="H12" s="559">
        <f t="shared" si="1"/>
        <v>796.34468087365713</v>
      </c>
      <c r="I12" s="295"/>
    </row>
    <row r="13" spans="2:14">
      <c r="C13" s="316"/>
      <c r="D13" s="316"/>
    </row>
    <row r="19" spans="2:11" hidden="1">
      <c r="C19" s="363" t="s">
        <v>545</v>
      </c>
      <c r="D19" s="363">
        <v>477.8340265385383</v>
      </c>
      <c r="E19" s="363">
        <v>525.61742919239214</v>
      </c>
      <c r="F19" s="363">
        <v>578.17917211163137</v>
      </c>
      <c r="G19" s="363">
        <v>635.99708932279452</v>
      </c>
      <c r="H19" s="363">
        <v>699.59679825507408</v>
      </c>
    </row>
    <row r="21" spans="2:11">
      <c r="B21" s="846" t="s">
        <v>546</v>
      </c>
      <c r="C21" s="847"/>
      <c r="D21" s="847"/>
      <c r="E21" s="847"/>
      <c r="F21" s="847"/>
      <c r="G21" s="847"/>
      <c r="H21" s="847"/>
      <c r="I21" s="848"/>
    </row>
    <row r="22" spans="2:11">
      <c r="B22" s="520" t="s">
        <v>547</v>
      </c>
      <c r="C22" s="520" t="s">
        <v>53</v>
      </c>
      <c r="D22" s="520" t="s">
        <v>548</v>
      </c>
      <c r="E22" s="520" t="s">
        <v>549</v>
      </c>
      <c r="F22" s="520" t="s">
        <v>550</v>
      </c>
      <c r="G22" s="520" t="s">
        <v>551</v>
      </c>
      <c r="H22" s="520" t="s">
        <v>552</v>
      </c>
      <c r="I22" s="520" t="s">
        <v>553</v>
      </c>
      <c r="J22" s="560"/>
      <c r="K22" s="560"/>
    </row>
    <row r="23" spans="2:11">
      <c r="B23" s="549">
        <v>100000</v>
      </c>
      <c r="C23" s="541" t="s">
        <v>554</v>
      </c>
      <c r="D23" s="561">
        <v>33</v>
      </c>
      <c r="E23" s="561">
        <v>44</v>
      </c>
      <c r="F23" s="561">
        <v>122</v>
      </c>
      <c r="G23" s="561">
        <v>162</v>
      </c>
      <c r="H23" s="561">
        <v>238</v>
      </c>
      <c r="I23" s="561">
        <v>190</v>
      </c>
      <c r="J23" s="562"/>
    </row>
    <row r="24" spans="2:11">
      <c r="B24" s="549">
        <v>100000</v>
      </c>
      <c r="C24" s="541" t="s">
        <v>555</v>
      </c>
      <c r="D24" s="561">
        <v>9</v>
      </c>
      <c r="E24" s="561">
        <v>15</v>
      </c>
      <c r="F24" s="561">
        <v>10</v>
      </c>
      <c r="G24" s="561">
        <v>9</v>
      </c>
      <c r="H24" s="561">
        <v>17</v>
      </c>
      <c r="I24" s="561">
        <v>12</v>
      </c>
      <c r="J24" s="562"/>
    </row>
    <row r="25" spans="2:11">
      <c r="B25" s="549">
        <v>200000</v>
      </c>
      <c r="C25" s="541" t="s">
        <v>556</v>
      </c>
      <c r="D25" s="561">
        <v>17</v>
      </c>
      <c r="E25" s="561">
        <v>27</v>
      </c>
      <c r="F25" s="561">
        <v>27</v>
      </c>
      <c r="G25" s="561">
        <v>30</v>
      </c>
      <c r="H25" s="561">
        <v>41</v>
      </c>
      <c r="I25" s="563" t="s">
        <v>367</v>
      </c>
      <c r="J25" s="562"/>
    </row>
    <row r="26" spans="2:11">
      <c r="B26" s="541"/>
      <c r="C26" s="541" t="s">
        <v>557</v>
      </c>
      <c r="D26" s="561">
        <v>32</v>
      </c>
      <c r="E26" s="561">
        <v>19</v>
      </c>
      <c r="F26" s="561">
        <v>44</v>
      </c>
      <c r="G26" s="561">
        <v>39</v>
      </c>
      <c r="H26" s="561">
        <v>30</v>
      </c>
      <c r="I26" s="561">
        <v>19</v>
      </c>
      <c r="J26" s="562"/>
    </row>
    <row r="27" spans="2:11">
      <c r="B27" s="541"/>
      <c r="C27" s="564" t="s">
        <v>219</v>
      </c>
      <c r="D27" s="565">
        <f>SUM(D23:D26)</f>
        <v>91</v>
      </c>
      <c r="E27" s="565">
        <f t="shared" ref="E27:I27" si="2">SUM(E23:E26)</f>
        <v>105</v>
      </c>
      <c r="F27" s="565">
        <f t="shared" si="2"/>
        <v>203</v>
      </c>
      <c r="G27" s="565">
        <f t="shared" si="2"/>
        <v>240</v>
      </c>
      <c r="H27" s="565">
        <f t="shared" si="2"/>
        <v>326</v>
      </c>
      <c r="I27" s="565">
        <f t="shared" si="2"/>
        <v>221</v>
      </c>
      <c r="J27" s="562"/>
    </row>
    <row r="28" spans="2:11">
      <c r="C28" s="566"/>
      <c r="D28" s="567"/>
      <c r="E28" s="567"/>
      <c r="F28" s="567"/>
      <c r="G28" s="567"/>
      <c r="H28" s="567"/>
      <c r="I28" s="567"/>
      <c r="J28" s="562"/>
    </row>
    <row r="29" spans="2:11">
      <c r="B29" s="849" t="s">
        <v>558</v>
      </c>
      <c r="C29" s="849"/>
      <c r="D29" s="849"/>
      <c r="E29" s="849"/>
      <c r="F29" s="849"/>
      <c r="G29" s="849"/>
      <c r="H29" s="849"/>
      <c r="I29" s="674"/>
    </row>
    <row r="30" spans="2:11">
      <c r="B30" s="520" t="s">
        <v>547</v>
      </c>
      <c r="C30" s="520" t="s">
        <v>53</v>
      </c>
      <c r="D30" s="520" t="s">
        <v>548</v>
      </c>
      <c r="E30" s="520" t="s">
        <v>549</v>
      </c>
      <c r="F30" s="520" t="s">
        <v>550</v>
      </c>
      <c r="G30" s="520" t="s">
        <v>551</v>
      </c>
      <c r="H30" s="520" t="s">
        <v>552</v>
      </c>
      <c r="I30" s="560"/>
    </row>
    <row r="31" spans="2:11">
      <c r="B31" s="549">
        <v>100000</v>
      </c>
      <c r="C31" s="541" t="s">
        <v>559</v>
      </c>
      <c r="D31" s="541">
        <v>24</v>
      </c>
      <c r="E31" s="541">
        <v>15</v>
      </c>
      <c r="F31" s="541">
        <v>32</v>
      </c>
      <c r="G31" s="541">
        <v>29</v>
      </c>
      <c r="H31" s="541">
        <v>21</v>
      </c>
    </row>
    <row r="32" spans="2:11">
      <c r="B32" s="549">
        <v>200000</v>
      </c>
      <c r="C32" s="541" t="s">
        <v>560</v>
      </c>
      <c r="D32" s="541">
        <v>8</v>
      </c>
      <c r="E32" s="541">
        <v>4</v>
      </c>
      <c r="F32" s="541">
        <v>12</v>
      </c>
      <c r="G32" s="541">
        <v>10</v>
      </c>
      <c r="H32" s="541">
        <v>6</v>
      </c>
    </row>
    <row r="33" spans="2:9">
      <c r="B33" s="549">
        <v>0</v>
      </c>
      <c r="C33" s="541" t="s">
        <v>561</v>
      </c>
      <c r="D33" s="541">
        <v>0</v>
      </c>
      <c r="E33" s="541">
        <v>0</v>
      </c>
      <c r="F33" s="541">
        <v>0</v>
      </c>
      <c r="G33" s="541">
        <v>0</v>
      </c>
      <c r="H33" s="541">
        <v>3</v>
      </c>
    </row>
    <row r="34" spans="2:9">
      <c r="B34" s="541"/>
      <c r="C34" s="541" t="s">
        <v>219</v>
      </c>
      <c r="D34" s="541">
        <f>SUM(D31:D33)</f>
        <v>32</v>
      </c>
      <c r="E34" s="541">
        <f t="shared" ref="E34:H34" si="3">SUM(E31:E33)</f>
        <v>19</v>
      </c>
      <c r="F34" s="541">
        <f t="shared" si="3"/>
        <v>44</v>
      </c>
      <c r="G34" s="541">
        <f t="shared" si="3"/>
        <v>39</v>
      </c>
      <c r="H34" s="541">
        <f t="shared" si="3"/>
        <v>30</v>
      </c>
    </row>
    <row r="36" spans="2:9">
      <c r="C36" s="520" t="s">
        <v>562</v>
      </c>
      <c r="D36" s="520" t="s">
        <v>548</v>
      </c>
      <c r="E36" s="520" t="s">
        <v>549</v>
      </c>
      <c r="F36" s="520" t="s">
        <v>550</v>
      </c>
      <c r="G36" s="520" t="s">
        <v>551</v>
      </c>
      <c r="H36" s="520" t="s">
        <v>552</v>
      </c>
      <c r="I36" s="560"/>
    </row>
    <row r="37" spans="2:9">
      <c r="C37" s="541" t="s">
        <v>563</v>
      </c>
      <c r="D37" s="541">
        <f>D23*$B$23</f>
        <v>3300000</v>
      </c>
      <c r="E37" s="541">
        <f t="shared" ref="E37:H37" si="4">E23*$B$23</f>
        <v>4400000</v>
      </c>
      <c r="F37" s="541">
        <f t="shared" si="4"/>
        <v>12200000</v>
      </c>
      <c r="G37" s="541">
        <f t="shared" si="4"/>
        <v>16200000</v>
      </c>
      <c r="H37" s="541">
        <f t="shared" si="4"/>
        <v>23800000</v>
      </c>
    </row>
    <row r="38" spans="2:9">
      <c r="C38" s="541" t="s">
        <v>564</v>
      </c>
      <c r="D38" s="541">
        <f>D24*$B$24</f>
        <v>900000</v>
      </c>
      <c r="E38" s="541">
        <f t="shared" ref="E38:H38" si="5">E24*$B$24</f>
        <v>1500000</v>
      </c>
      <c r="F38" s="541">
        <f t="shared" si="5"/>
        <v>1000000</v>
      </c>
      <c r="G38" s="541">
        <f t="shared" si="5"/>
        <v>900000</v>
      </c>
      <c r="H38" s="541">
        <f t="shared" si="5"/>
        <v>1700000</v>
      </c>
    </row>
    <row r="39" spans="2:9">
      <c r="C39" s="541" t="s">
        <v>565</v>
      </c>
      <c r="D39" s="541">
        <f>D25*$B$25</f>
        <v>3400000</v>
      </c>
      <c r="E39" s="541">
        <f t="shared" ref="E39:H39" si="6">E25*$B$25</f>
        <v>5400000</v>
      </c>
      <c r="F39" s="541">
        <f t="shared" si="6"/>
        <v>5400000</v>
      </c>
      <c r="G39" s="541">
        <f t="shared" si="6"/>
        <v>6000000</v>
      </c>
      <c r="H39" s="541">
        <f t="shared" si="6"/>
        <v>8200000</v>
      </c>
    </row>
    <row r="40" spans="2:9">
      <c r="C40" s="541" t="s">
        <v>559</v>
      </c>
      <c r="D40" s="541">
        <f>D31*$B$31</f>
        <v>2400000</v>
      </c>
      <c r="E40" s="541">
        <f t="shared" ref="E40:H40" si="7">E31*$B$31</f>
        <v>1500000</v>
      </c>
      <c r="F40" s="541">
        <f t="shared" si="7"/>
        <v>3200000</v>
      </c>
      <c r="G40" s="541">
        <f t="shared" si="7"/>
        <v>2900000</v>
      </c>
      <c r="H40" s="541">
        <f t="shared" si="7"/>
        <v>2100000</v>
      </c>
    </row>
    <row r="41" spans="2:9">
      <c r="C41" s="541" t="s">
        <v>560</v>
      </c>
      <c r="D41" s="541">
        <f>D32*$B$32</f>
        <v>1600000</v>
      </c>
      <c r="E41" s="541">
        <f t="shared" ref="E41:H41" si="8">E32*$B$32</f>
        <v>800000</v>
      </c>
      <c r="F41" s="541">
        <f t="shared" si="8"/>
        <v>2400000</v>
      </c>
      <c r="G41" s="541">
        <f t="shared" si="8"/>
        <v>2000000</v>
      </c>
      <c r="H41" s="541">
        <f t="shared" si="8"/>
        <v>1200000</v>
      </c>
    </row>
    <row r="42" spans="2:9">
      <c r="C42" s="541" t="s">
        <v>566</v>
      </c>
      <c r="D42" s="541">
        <f>D33*$B$33</f>
        <v>0</v>
      </c>
      <c r="E42" s="541">
        <f t="shared" ref="E42:H42" si="9">E33*$B$33</f>
        <v>0</v>
      </c>
      <c r="F42" s="541">
        <f t="shared" si="9"/>
        <v>0</v>
      </c>
      <c r="G42" s="541">
        <f t="shared" si="9"/>
        <v>0</v>
      </c>
      <c r="H42" s="541">
        <f t="shared" si="9"/>
        <v>0</v>
      </c>
    </row>
    <row r="43" spans="2:9">
      <c r="C43" s="740" t="s">
        <v>219</v>
      </c>
      <c r="D43" s="740">
        <f>SUM(D37:D42)</f>
        <v>11600000</v>
      </c>
      <c r="E43" s="740">
        <f t="shared" ref="E43:H43" si="10">SUM(E37:E42)</f>
        <v>13600000</v>
      </c>
      <c r="F43" s="740">
        <f t="shared" si="10"/>
        <v>24200000</v>
      </c>
      <c r="G43" s="740">
        <f t="shared" si="10"/>
        <v>28000000</v>
      </c>
      <c r="H43" s="740">
        <f t="shared" si="10"/>
        <v>37000000</v>
      </c>
    </row>
    <row r="44" spans="2:9">
      <c r="D44" s="561" t="s">
        <v>567</v>
      </c>
    </row>
    <row r="45" spans="2:9">
      <c r="D45" s="735">
        <f>_xlfn.RRI(4,D43,H43)</f>
        <v>0.33639835907889637</v>
      </c>
      <c r="E45" s="272">
        <f>_xlfn.RRI(3,E43,H43)</f>
        <v>0.39600702975330604</v>
      </c>
      <c r="F45" s="272">
        <f>_xlfn.RRI(2,F43,H43)</f>
        <v>0.23649731897594939</v>
      </c>
    </row>
    <row r="47" spans="2:9">
      <c r="C47" s="568"/>
      <c r="E47" s="850" t="s">
        <v>568</v>
      </c>
      <c r="F47" s="851"/>
      <c r="G47" s="851"/>
      <c r="H47" s="851"/>
      <c r="I47" s="852"/>
    </row>
    <row r="48" spans="2:9" ht="27.6">
      <c r="C48" s="520" t="s">
        <v>569</v>
      </c>
      <c r="D48" s="520" t="s">
        <v>570</v>
      </c>
      <c r="E48" s="520" t="s">
        <v>56</v>
      </c>
      <c r="F48" s="520" t="s">
        <v>57</v>
      </c>
      <c r="G48" s="520" t="s">
        <v>58</v>
      </c>
      <c r="H48" s="520" t="s">
        <v>59</v>
      </c>
      <c r="I48" s="520" t="s">
        <v>59</v>
      </c>
    </row>
    <row r="49" spans="2:9" ht="27.6">
      <c r="C49" s="556" t="s">
        <v>571</v>
      </c>
      <c r="D49" s="569">
        <f>(H43*D45+H43)/10^5</f>
        <v>494.46739285919165</v>
      </c>
      <c r="E49" s="541">
        <f>D49*(1+10%)</f>
        <v>543.9141321451109</v>
      </c>
      <c r="F49" s="541">
        <f t="shared" ref="F49:H49" si="11">E49*(1+10%)</f>
        <v>598.30554535962199</v>
      </c>
      <c r="G49" s="541">
        <f t="shared" si="11"/>
        <v>658.13609989558427</v>
      </c>
      <c r="H49" s="541">
        <f t="shared" si="11"/>
        <v>723.94970988514274</v>
      </c>
      <c r="I49" s="541">
        <f>H49*(1+10%)</f>
        <v>796.34468087365713</v>
      </c>
    </row>
    <row r="50" spans="2:9">
      <c r="D50" s="541" t="s">
        <v>572</v>
      </c>
      <c r="E50" s="845" t="s">
        <v>573</v>
      </c>
      <c r="F50" s="845"/>
      <c r="G50" s="845"/>
      <c r="H50" s="845"/>
      <c r="I50" s="845"/>
    </row>
    <row r="60" spans="2:9">
      <c r="B60" s="729" t="s">
        <v>2</v>
      </c>
      <c r="C60" s="729" t="s">
        <v>53</v>
      </c>
      <c r="D60" s="520" t="s">
        <v>54</v>
      </c>
      <c r="E60" s="520"/>
      <c r="F60" s="520"/>
      <c r="G60" s="520"/>
      <c r="H60" s="520"/>
      <c r="I60" s="520"/>
    </row>
    <row r="61" spans="2:9">
      <c r="B61" s="729"/>
      <c r="C61" s="729"/>
      <c r="D61" s="520" t="s">
        <v>96</v>
      </c>
      <c r="E61" s="520" t="s">
        <v>97</v>
      </c>
      <c r="F61" s="520" t="s">
        <v>98</v>
      </c>
      <c r="G61" s="520" t="s">
        <v>99</v>
      </c>
      <c r="H61" s="520" t="s">
        <v>100</v>
      </c>
      <c r="I61" s="520" t="s">
        <v>101</v>
      </c>
    </row>
    <row r="62" spans="2:9" ht="27.6">
      <c r="B62" s="570">
        <v>1</v>
      </c>
      <c r="C62" s="556" t="s">
        <v>543</v>
      </c>
      <c r="D62" s="731">
        <v>143.69999999999999</v>
      </c>
      <c r="E62" s="731">
        <v>195.38</v>
      </c>
      <c r="F62" s="731">
        <v>302.68</v>
      </c>
      <c r="G62" s="731">
        <v>386.64</v>
      </c>
      <c r="H62" s="731">
        <v>473.31</v>
      </c>
      <c r="I62" s="732">
        <v>633.17999999999995</v>
      </c>
    </row>
    <row r="63" spans="2:9">
      <c r="B63" s="570">
        <v>2</v>
      </c>
      <c r="C63" s="557" t="s">
        <v>544</v>
      </c>
      <c r="D63" s="731"/>
      <c r="E63" s="731"/>
      <c r="F63" s="731"/>
      <c r="G63" s="731"/>
      <c r="H63" s="731"/>
      <c r="I63" s="732"/>
    </row>
    <row r="64" spans="2:9">
      <c r="B64" s="555"/>
      <c r="C64" s="558" t="s">
        <v>219</v>
      </c>
      <c r="D64" s="730">
        <f>SUM(D62)</f>
        <v>143.69999999999999</v>
      </c>
      <c r="E64" s="730">
        <f t="shared" ref="E64:H64" si="12">SUM(E62)</f>
        <v>195.38</v>
      </c>
      <c r="F64" s="730">
        <f t="shared" si="12"/>
        <v>302.68</v>
      </c>
      <c r="G64" s="730">
        <f t="shared" si="12"/>
        <v>386.64</v>
      </c>
      <c r="H64" s="730">
        <f t="shared" si="12"/>
        <v>473.31</v>
      </c>
      <c r="I64" s="300">
        <f>I62</f>
        <v>633.17999999999995</v>
      </c>
    </row>
    <row r="65" spans="2:9">
      <c r="B65" s="541"/>
      <c r="C65" s="557"/>
      <c r="D65" s="557"/>
      <c r="E65" s="541"/>
      <c r="F65" s="541"/>
      <c r="G65" s="541"/>
      <c r="H65" s="541"/>
      <c r="I65" s="541"/>
    </row>
    <row r="66" spans="2:9">
      <c r="D66" s="734"/>
    </row>
    <row r="67" spans="2:9">
      <c r="D67" s="733">
        <f>_xlfn.RRI(4,D64,H64)</f>
        <v>0.34716945724376425</v>
      </c>
    </row>
    <row r="68" spans="2:9">
      <c r="D68" s="733">
        <f>_xlfn.RRI(3,E64,H64)</f>
        <v>0.34303869332273118</v>
      </c>
    </row>
    <row r="69" spans="2:9">
      <c r="D69" s="733">
        <f>_xlfn.RRI(2,F64,H64)</f>
        <v>0.25049217216965913</v>
      </c>
    </row>
  </sheetData>
  <mergeCells count="13">
    <mergeCell ref="E50:I50"/>
    <mergeCell ref="B21:I21"/>
    <mergeCell ref="B29:H29"/>
    <mergeCell ref="E47:I47"/>
    <mergeCell ref="I7:I9"/>
    <mergeCell ref="B7:B9"/>
    <mergeCell ref="C7:C9"/>
    <mergeCell ref="D7:H7"/>
    <mergeCell ref="D10:D11"/>
    <mergeCell ref="E10:E11"/>
    <mergeCell ref="F10:F11"/>
    <mergeCell ref="G10:G11"/>
    <mergeCell ref="H10:H11"/>
  </mergeCells>
  <phoneticPr fontId="24" type="noConversion"/>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A164"/>
  <sheetViews>
    <sheetView showGridLines="0" view="pageBreakPreview" topLeftCell="A82" zoomScale="32" zoomScaleNormal="29" zoomScaleSheetLayoutView="90" workbookViewId="0">
      <selection activeCell="V132" sqref="V132"/>
    </sheetView>
  </sheetViews>
  <sheetFormatPr defaultColWidth="9.140625" defaultRowHeight="13.9"/>
  <cols>
    <col min="1" max="1" width="4.140625" style="1" customWidth="1"/>
    <col min="2" max="2" width="8.5703125" style="1" customWidth="1"/>
    <col min="3" max="3" width="57.42578125" style="1" customWidth="1"/>
    <col min="4" max="7" width="16.42578125" style="1" customWidth="1"/>
    <col min="8" max="16" width="15.5703125" style="1" customWidth="1"/>
    <col min="17" max="18" width="9.140625" style="1"/>
    <col min="19" max="19" width="12.28515625" style="1" bestFit="1" customWidth="1"/>
    <col min="20" max="20" width="9.140625" style="1"/>
    <col min="21" max="22" width="9.140625" style="1" customWidth="1"/>
    <col min="23" max="24" width="16.5703125" style="1" customWidth="1"/>
    <col min="25" max="25" width="15.28515625" style="1" customWidth="1"/>
    <col min="26" max="26" width="16.5703125" style="1" customWidth="1"/>
    <col min="27" max="28" width="16.28515625" style="1" customWidth="1"/>
    <col min="29" max="29" width="14.5703125" style="1" customWidth="1"/>
    <col min="30" max="34" width="14.5703125" style="1" bestFit="1" customWidth="1"/>
    <col min="35" max="16384" width="9.140625" style="1"/>
  </cols>
  <sheetData>
    <row r="1" spans="2:27">
      <c r="B1" s="6"/>
    </row>
    <row r="2" spans="2:27">
      <c r="B2" s="53"/>
      <c r="C2" s="137"/>
      <c r="D2" s="137"/>
      <c r="E2" s="137"/>
      <c r="F2" s="52" t="s">
        <v>0</v>
      </c>
      <c r="G2" s="137"/>
      <c r="H2" s="137"/>
      <c r="I2" s="137"/>
      <c r="J2" s="137"/>
      <c r="K2" s="137"/>
      <c r="L2" s="137"/>
      <c r="M2" s="137"/>
      <c r="N2" s="137"/>
      <c r="O2" s="137"/>
      <c r="P2" s="137"/>
    </row>
    <row r="3" spans="2:27">
      <c r="B3" s="53"/>
      <c r="C3" s="137"/>
      <c r="D3" s="137"/>
      <c r="E3" s="137"/>
      <c r="F3" s="55" t="s">
        <v>1</v>
      </c>
      <c r="G3" s="137"/>
      <c r="H3" s="137"/>
      <c r="I3" s="137"/>
      <c r="J3" s="137"/>
      <c r="K3" s="137"/>
      <c r="L3" s="137"/>
      <c r="M3" s="137"/>
      <c r="N3" s="137"/>
      <c r="O3" s="137"/>
      <c r="P3" s="137"/>
    </row>
    <row r="4" spans="2:27">
      <c r="C4" s="137"/>
      <c r="D4" s="137"/>
      <c r="E4" s="137"/>
      <c r="F4" s="44" t="s">
        <v>574</v>
      </c>
      <c r="G4" s="137"/>
      <c r="H4" s="137"/>
      <c r="I4" s="137"/>
      <c r="J4" s="137"/>
      <c r="K4" s="137"/>
      <c r="L4" s="137"/>
      <c r="M4" s="137"/>
      <c r="N4" s="137"/>
      <c r="O4" s="137"/>
      <c r="P4" s="137"/>
    </row>
    <row r="5" spans="2:27">
      <c r="B5" s="2"/>
      <c r="C5" s="2"/>
    </row>
    <row r="6" spans="2:27">
      <c r="B6" s="8" t="s">
        <v>575</v>
      </c>
      <c r="C6" s="7"/>
      <c r="G6" s="7"/>
      <c r="I6" s="8"/>
      <c r="L6" s="8"/>
    </row>
    <row r="7" spans="2:27">
      <c r="C7" s="7"/>
      <c r="G7" s="7"/>
      <c r="I7" s="8"/>
      <c r="L7" s="8"/>
      <c r="P7" s="8" t="s">
        <v>52</v>
      </c>
    </row>
    <row r="8" spans="2:27">
      <c r="B8" s="140" t="s">
        <v>576</v>
      </c>
      <c r="C8" s="140" t="s">
        <v>53</v>
      </c>
      <c r="D8" s="141" t="s">
        <v>577</v>
      </c>
      <c r="E8" s="141" t="s">
        <v>578</v>
      </c>
      <c r="F8" s="141" t="s">
        <v>579</v>
      </c>
      <c r="G8" s="141" t="s">
        <v>580</v>
      </c>
      <c r="H8" s="141" t="s">
        <v>581</v>
      </c>
      <c r="I8" s="141" t="s">
        <v>582</v>
      </c>
      <c r="J8" s="141" t="s">
        <v>583</v>
      </c>
      <c r="K8" s="141" t="s">
        <v>584</v>
      </c>
      <c r="L8" s="141" t="s">
        <v>585</v>
      </c>
      <c r="M8" s="141" t="s">
        <v>586</v>
      </c>
      <c r="N8" s="141" t="s">
        <v>587</v>
      </c>
      <c r="O8" s="141" t="s">
        <v>588</v>
      </c>
      <c r="P8" s="141" t="s">
        <v>219</v>
      </c>
    </row>
    <row r="9" spans="2:27" s="9" customFormat="1">
      <c r="B9" s="142">
        <v>1</v>
      </c>
      <c r="C9" s="143" t="s">
        <v>589</v>
      </c>
      <c r="D9" s="10"/>
      <c r="E9" s="144"/>
      <c r="F9" s="144"/>
      <c r="G9" s="144"/>
      <c r="H9" s="144"/>
      <c r="I9" s="144"/>
      <c r="J9" s="144"/>
      <c r="K9" s="144"/>
      <c r="L9" s="144"/>
      <c r="M9" s="144"/>
      <c r="N9" s="144"/>
      <c r="O9" s="144"/>
      <c r="P9" s="144"/>
    </row>
    <row r="10" spans="2:27" s="9" customFormat="1">
      <c r="B10" s="145" t="s">
        <v>590</v>
      </c>
      <c r="C10" s="151" t="s">
        <v>591</v>
      </c>
      <c r="D10" s="144">
        <f ca="1">'F12_Including POA'!$D$41/12</f>
        <v>61.82563479336477</v>
      </c>
      <c r="E10" s="144">
        <f ca="1">'F12_Including POA'!$D$41/12</f>
        <v>61.82563479336477</v>
      </c>
      <c r="F10" s="144">
        <f ca="1">'F12_Including POA'!$D$41/12</f>
        <v>61.82563479336477</v>
      </c>
      <c r="G10" s="144">
        <f ca="1">'F12_Including POA'!$D$41/12</f>
        <v>61.82563479336477</v>
      </c>
      <c r="H10" s="144">
        <f ca="1">'F12_Including POA'!$D$41/12</f>
        <v>61.82563479336477</v>
      </c>
      <c r="I10" s="144">
        <f ca="1">'F12_Including POA'!$D$41/12</f>
        <v>61.82563479336477</v>
      </c>
      <c r="J10" s="144">
        <f ca="1">'F12_Including POA'!$D$41/12</f>
        <v>61.82563479336477</v>
      </c>
      <c r="K10" s="144">
        <f ca="1">'F12_Including POA'!$D$41/12</f>
        <v>61.82563479336477</v>
      </c>
      <c r="L10" s="144">
        <f ca="1">'F12_Including POA'!$D$41/12</f>
        <v>61.82563479336477</v>
      </c>
      <c r="M10" s="144">
        <f ca="1">'F12_Including POA'!$D$41/12</f>
        <v>61.82563479336477</v>
      </c>
      <c r="N10" s="144">
        <f ca="1">'F12_Including POA'!$D$41/12</f>
        <v>61.82563479336477</v>
      </c>
      <c r="O10" s="144">
        <f ca="1">'F12_Including POA'!$D$41/12</f>
        <v>61.82563479336477</v>
      </c>
      <c r="P10" s="144">
        <f t="shared" ref="P10:P35" ca="1" si="0">SUM(D10:O10)</f>
        <v>741.90761752037724</v>
      </c>
      <c r="W10" s="322"/>
      <c r="X10" s="322"/>
      <c r="Y10" s="322"/>
      <c r="Z10" s="322"/>
      <c r="AA10" s="322"/>
    </row>
    <row r="11" spans="2:27" s="9" customFormat="1">
      <c r="B11" s="145" t="s">
        <v>592</v>
      </c>
      <c r="C11" s="151" t="s">
        <v>593</v>
      </c>
      <c r="D11" s="144">
        <f ca="1">'F12_Including POA'!$D$42/12</f>
        <v>2.483917430376966</v>
      </c>
      <c r="E11" s="144">
        <f ca="1">'F12_Including POA'!$D$42/12</f>
        <v>2.483917430376966</v>
      </c>
      <c r="F11" s="144">
        <f ca="1">'F12_Including POA'!$D$42/12</f>
        <v>2.483917430376966</v>
      </c>
      <c r="G11" s="144">
        <f ca="1">'F12_Including POA'!$D$42/12</f>
        <v>2.483917430376966</v>
      </c>
      <c r="H11" s="144">
        <f ca="1">'F12_Including POA'!$D$42/12</f>
        <v>2.483917430376966</v>
      </c>
      <c r="I11" s="144">
        <f ca="1">'F12_Including POA'!$D$42/12</f>
        <v>2.483917430376966</v>
      </c>
      <c r="J11" s="144">
        <f ca="1">'F12_Including POA'!$D$42/12</f>
        <v>2.483917430376966</v>
      </c>
      <c r="K11" s="144">
        <f ca="1">'F12_Including POA'!$D$42/12</f>
        <v>2.483917430376966</v>
      </c>
      <c r="L11" s="144">
        <f ca="1">'F12_Including POA'!$D$42/12</f>
        <v>2.483917430376966</v>
      </c>
      <c r="M11" s="144">
        <f ca="1">'F12_Including POA'!$D$42/12</f>
        <v>2.483917430376966</v>
      </c>
      <c r="N11" s="144">
        <f ca="1">'F12_Including POA'!$D$42/12</f>
        <v>2.483917430376966</v>
      </c>
      <c r="O11" s="144">
        <f ca="1">'F12_Including POA'!$D$42/12</f>
        <v>2.483917430376966</v>
      </c>
      <c r="P11" s="144">
        <f t="shared" ca="1" si="0"/>
        <v>29.807009164523592</v>
      </c>
      <c r="W11" s="322"/>
      <c r="X11" s="322"/>
      <c r="Y11" s="322"/>
      <c r="Z11" s="322"/>
      <c r="AA11" s="322"/>
    </row>
    <row r="12" spans="2:27" s="9" customFormat="1">
      <c r="B12" s="145" t="s">
        <v>594</v>
      </c>
      <c r="C12" s="151" t="s">
        <v>595</v>
      </c>
      <c r="D12" s="144">
        <f ca="1">'F12_Including POA'!$D$43/12</f>
        <v>4.516803425407069</v>
      </c>
      <c r="E12" s="144">
        <f ca="1">'F12_Including POA'!$D$43/12</f>
        <v>4.516803425407069</v>
      </c>
      <c r="F12" s="144">
        <f ca="1">'F12_Including POA'!$D$43/12</f>
        <v>4.516803425407069</v>
      </c>
      <c r="G12" s="144">
        <f ca="1">'F12_Including POA'!$D$43/12</f>
        <v>4.516803425407069</v>
      </c>
      <c r="H12" s="144">
        <f ca="1">'F12_Including POA'!$D$43/12</f>
        <v>4.516803425407069</v>
      </c>
      <c r="I12" s="144">
        <f ca="1">'F12_Including POA'!$D$43/12</f>
        <v>4.516803425407069</v>
      </c>
      <c r="J12" s="144">
        <f ca="1">'F12_Including POA'!$D$43/12</f>
        <v>4.516803425407069</v>
      </c>
      <c r="K12" s="144">
        <f ca="1">'F12_Including POA'!$D$43/12</f>
        <v>4.516803425407069</v>
      </c>
      <c r="L12" s="144">
        <f ca="1">'F12_Including POA'!$D$43/12</f>
        <v>4.516803425407069</v>
      </c>
      <c r="M12" s="144">
        <f ca="1">'F12_Including POA'!$D$43/12</f>
        <v>4.516803425407069</v>
      </c>
      <c r="N12" s="144">
        <f ca="1">'F12_Including POA'!$D$43/12</f>
        <v>4.516803425407069</v>
      </c>
      <c r="O12" s="144">
        <f ca="1">'F12_Including POA'!$D$43/12</f>
        <v>4.516803425407069</v>
      </c>
      <c r="P12" s="144">
        <f t="shared" ca="1" si="0"/>
        <v>54.201641104884828</v>
      </c>
      <c r="W12" s="322"/>
      <c r="X12" s="322"/>
      <c r="Y12" s="322"/>
      <c r="Z12" s="322"/>
      <c r="AA12" s="322"/>
    </row>
    <row r="13" spans="2:27" s="9" customFormat="1">
      <c r="B13" s="145" t="s">
        <v>596</v>
      </c>
      <c r="C13" s="151" t="s">
        <v>597</v>
      </c>
      <c r="D13" s="144">
        <f ca="1">'F12_Including POA'!$D$44/12</f>
        <v>2.2156452124206356</v>
      </c>
      <c r="E13" s="144">
        <f ca="1">'F12_Including POA'!$D$44/12</f>
        <v>2.2156452124206356</v>
      </c>
      <c r="F13" s="144">
        <f ca="1">'F12_Including POA'!$D$44/12</f>
        <v>2.2156452124206356</v>
      </c>
      <c r="G13" s="144">
        <f ca="1">'F12_Including POA'!$D$44/12</f>
        <v>2.2156452124206356</v>
      </c>
      <c r="H13" s="144">
        <f ca="1">'F12_Including POA'!$D$44/12</f>
        <v>2.2156452124206356</v>
      </c>
      <c r="I13" s="144">
        <f ca="1">'F12_Including POA'!$D$44/12</f>
        <v>2.2156452124206356</v>
      </c>
      <c r="J13" s="144">
        <f ca="1">'F12_Including POA'!$D$44/12</f>
        <v>2.2156452124206356</v>
      </c>
      <c r="K13" s="144">
        <f ca="1">'F12_Including POA'!$D$44/12</f>
        <v>2.2156452124206356</v>
      </c>
      <c r="L13" s="144">
        <f ca="1">'F12_Including POA'!$D$44/12</f>
        <v>2.2156452124206356</v>
      </c>
      <c r="M13" s="144">
        <f ca="1">'F12_Including POA'!$D$44/12</f>
        <v>2.2156452124206356</v>
      </c>
      <c r="N13" s="144">
        <f ca="1">'F12_Including POA'!$D$44/12</f>
        <v>2.2156452124206356</v>
      </c>
      <c r="O13" s="144">
        <f ca="1">'F12_Including POA'!$D$44/12</f>
        <v>2.2156452124206356</v>
      </c>
      <c r="P13" s="144">
        <f t="shared" ca="1" si="0"/>
        <v>26.587742549047629</v>
      </c>
      <c r="W13" s="322"/>
      <c r="X13" s="322"/>
      <c r="Y13" s="322"/>
      <c r="Z13" s="322"/>
      <c r="AA13" s="322"/>
    </row>
    <row r="14" spans="2:27" s="9" customFormat="1">
      <c r="B14" s="145" t="s">
        <v>598</v>
      </c>
      <c r="C14" s="151" t="s">
        <v>599</v>
      </c>
      <c r="D14" s="144">
        <f ca="1">'F12_Including POA'!$D$45/12</f>
        <v>1.3824286901594158</v>
      </c>
      <c r="E14" s="144">
        <f ca="1">'F12_Including POA'!$D$45/12</f>
        <v>1.3824286901594158</v>
      </c>
      <c r="F14" s="144">
        <f ca="1">'F12_Including POA'!$D$45/12</f>
        <v>1.3824286901594158</v>
      </c>
      <c r="G14" s="144">
        <f ca="1">'F12_Including POA'!$D$45/12</f>
        <v>1.3824286901594158</v>
      </c>
      <c r="H14" s="144">
        <f ca="1">'F12_Including POA'!$D$45/12</f>
        <v>1.3824286901594158</v>
      </c>
      <c r="I14" s="144">
        <f ca="1">'F12_Including POA'!$D$45/12</f>
        <v>1.3824286901594158</v>
      </c>
      <c r="J14" s="144">
        <f ca="1">'F12_Including POA'!$D$45/12</f>
        <v>1.3824286901594158</v>
      </c>
      <c r="K14" s="144">
        <f ca="1">'F12_Including POA'!$D$45/12</f>
        <v>1.3824286901594158</v>
      </c>
      <c r="L14" s="144">
        <f ca="1">'F12_Including POA'!$D$45/12</f>
        <v>1.3824286901594158</v>
      </c>
      <c r="M14" s="144">
        <f ca="1">'F12_Including POA'!$D$45/12</f>
        <v>1.3824286901594158</v>
      </c>
      <c r="N14" s="144">
        <f ca="1">'F12_Including POA'!$D$45/12</f>
        <v>1.3824286901594158</v>
      </c>
      <c r="O14" s="144">
        <f ca="1">'F12_Including POA'!$D$45/12</f>
        <v>1.3824286901594158</v>
      </c>
      <c r="P14" s="144">
        <f t="shared" ca="1" si="0"/>
        <v>16.589144281912986</v>
      </c>
      <c r="W14" s="322"/>
      <c r="X14" s="322"/>
      <c r="Y14" s="322"/>
      <c r="Z14" s="322"/>
      <c r="AA14" s="322"/>
    </row>
    <row r="15" spans="2:27" s="9" customFormat="1">
      <c r="B15" s="145" t="s">
        <v>600</v>
      </c>
      <c r="C15" s="151" t="s">
        <v>601</v>
      </c>
      <c r="D15" s="144">
        <f ca="1">'F12_Including POA'!$D$46/12</f>
        <v>2.5792440231014336E-2</v>
      </c>
      <c r="E15" s="144">
        <f ca="1">'F12_Including POA'!$D$46/12</f>
        <v>2.5792440231014336E-2</v>
      </c>
      <c r="F15" s="144">
        <f ca="1">'F12_Including POA'!$D$46/12</f>
        <v>2.5792440231014336E-2</v>
      </c>
      <c r="G15" s="144">
        <f ca="1">'F12_Including POA'!$D$46/12</f>
        <v>2.5792440231014336E-2</v>
      </c>
      <c r="H15" s="144">
        <f ca="1">'F12_Including POA'!$D$46/12</f>
        <v>2.5792440231014336E-2</v>
      </c>
      <c r="I15" s="144">
        <f ca="1">'F12_Including POA'!$D$46/12</f>
        <v>2.5792440231014336E-2</v>
      </c>
      <c r="J15" s="144">
        <f ca="1">'F12_Including POA'!$D$46/12</f>
        <v>2.5792440231014336E-2</v>
      </c>
      <c r="K15" s="144">
        <f ca="1">'F12_Including POA'!$D$46/12</f>
        <v>2.5792440231014336E-2</v>
      </c>
      <c r="L15" s="144">
        <f ca="1">'F12_Including POA'!$D$46/12</f>
        <v>2.5792440231014336E-2</v>
      </c>
      <c r="M15" s="144">
        <f ca="1">'F12_Including POA'!$D$46/12</f>
        <v>2.5792440231014336E-2</v>
      </c>
      <c r="N15" s="144">
        <f ca="1">'F12_Including POA'!$D$46/12</f>
        <v>2.5792440231014336E-2</v>
      </c>
      <c r="O15" s="144">
        <f ca="1">'F12_Including POA'!$D$46/12</f>
        <v>2.5792440231014336E-2</v>
      </c>
      <c r="P15" s="144">
        <f t="shared" ca="1" si="0"/>
        <v>0.3095092827721721</v>
      </c>
      <c r="W15" s="322"/>
      <c r="X15" s="322"/>
      <c r="Y15" s="322"/>
      <c r="Z15" s="322"/>
      <c r="AA15" s="322"/>
    </row>
    <row r="16" spans="2:27" s="9" customFormat="1">
      <c r="B16" s="145" t="s">
        <v>602</v>
      </c>
      <c r="C16" s="151" t="s">
        <v>603</v>
      </c>
      <c r="D16" s="144">
        <f ca="1">'F12_Including POA'!$D$47/12</f>
        <v>1.2994448194722062E-2</v>
      </c>
      <c r="E16" s="144">
        <f ca="1">'F12_Including POA'!$D$47/12</f>
        <v>1.2994448194722062E-2</v>
      </c>
      <c r="F16" s="144">
        <f ca="1">'F12_Including POA'!$D$47/12</f>
        <v>1.2994448194722062E-2</v>
      </c>
      <c r="G16" s="144">
        <f ca="1">'F12_Including POA'!$D$47/12</f>
        <v>1.2994448194722062E-2</v>
      </c>
      <c r="H16" s="144">
        <f ca="1">'F12_Including POA'!$D$47/12</f>
        <v>1.2994448194722062E-2</v>
      </c>
      <c r="I16" s="144">
        <f ca="1">'F12_Including POA'!$D$47/12</f>
        <v>1.2994448194722062E-2</v>
      </c>
      <c r="J16" s="144">
        <f ca="1">'F12_Including POA'!$D$47/12</f>
        <v>1.2994448194722062E-2</v>
      </c>
      <c r="K16" s="144">
        <f ca="1">'F12_Including POA'!$D$47/12</f>
        <v>1.2994448194722062E-2</v>
      </c>
      <c r="L16" s="144">
        <f ca="1">'F12_Including POA'!$D$47/12</f>
        <v>1.2994448194722062E-2</v>
      </c>
      <c r="M16" s="144">
        <f ca="1">'F12_Including POA'!$D$47/12</f>
        <v>1.2994448194722062E-2</v>
      </c>
      <c r="N16" s="144">
        <f ca="1">'F12_Including POA'!$D$47/12</f>
        <v>1.2994448194722062E-2</v>
      </c>
      <c r="O16" s="144">
        <f ca="1">'F12_Including POA'!$D$47/12</f>
        <v>1.2994448194722062E-2</v>
      </c>
      <c r="P16" s="144">
        <f t="shared" ca="1" si="0"/>
        <v>0.15593337833666474</v>
      </c>
      <c r="W16" s="322"/>
      <c r="X16" s="322"/>
      <c r="Y16" s="322"/>
      <c r="Z16" s="322"/>
      <c r="AA16" s="322"/>
    </row>
    <row r="17" spans="2:27" s="9" customFormat="1">
      <c r="B17" s="145" t="s">
        <v>604</v>
      </c>
      <c r="C17" s="151" t="s">
        <v>605</v>
      </c>
      <c r="D17" s="144">
        <f ca="1">'F12_Including POA'!$D$48/12</f>
        <v>1.4340804518873271E-2</v>
      </c>
      <c r="E17" s="144">
        <f ca="1">'F12_Including POA'!$D$48/12</f>
        <v>1.4340804518873271E-2</v>
      </c>
      <c r="F17" s="144">
        <f ca="1">'F12_Including POA'!$D$48/12</f>
        <v>1.4340804518873271E-2</v>
      </c>
      <c r="G17" s="144">
        <f ca="1">'F12_Including POA'!$D$48/12</f>
        <v>1.4340804518873271E-2</v>
      </c>
      <c r="H17" s="144">
        <f ca="1">'F12_Including POA'!$D$48/12</f>
        <v>1.4340804518873271E-2</v>
      </c>
      <c r="I17" s="144">
        <f ca="1">'F12_Including POA'!$D$48/12</f>
        <v>1.4340804518873271E-2</v>
      </c>
      <c r="J17" s="144">
        <f ca="1">'F12_Including POA'!$D$48/12</f>
        <v>1.4340804518873271E-2</v>
      </c>
      <c r="K17" s="144">
        <f ca="1">'F12_Including POA'!$D$48/12</f>
        <v>1.4340804518873271E-2</v>
      </c>
      <c r="L17" s="144">
        <f ca="1">'F12_Including POA'!$D$48/12</f>
        <v>1.4340804518873271E-2</v>
      </c>
      <c r="M17" s="144">
        <f ca="1">'F12_Including POA'!$D$48/12</f>
        <v>1.4340804518873271E-2</v>
      </c>
      <c r="N17" s="144">
        <f ca="1">'F12_Including POA'!$D$48/12</f>
        <v>1.4340804518873271E-2</v>
      </c>
      <c r="O17" s="144">
        <f ca="1">'F12_Including POA'!$D$48/12</f>
        <v>1.4340804518873271E-2</v>
      </c>
      <c r="P17" s="144">
        <f t="shared" ca="1" si="0"/>
        <v>0.17208965422647923</v>
      </c>
      <c r="W17" s="322"/>
      <c r="X17" s="322"/>
      <c r="Y17" s="322"/>
      <c r="Z17" s="322"/>
      <c r="AA17" s="322"/>
    </row>
    <row r="18" spans="2:27" s="9" customFormat="1">
      <c r="B18" s="145" t="s">
        <v>606</v>
      </c>
      <c r="C18" s="151" t="s">
        <v>607</v>
      </c>
      <c r="D18" s="144">
        <f ca="1">'F12_Including POA'!$D$49/12</f>
        <v>2.1061962644066613E-2</v>
      </c>
      <c r="E18" s="144">
        <f ca="1">'F12_Including POA'!$D$49/12</f>
        <v>2.1061962644066613E-2</v>
      </c>
      <c r="F18" s="144">
        <f ca="1">'F12_Including POA'!$D$49/12</f>
        <v>2.1061962644066613E-2</v>
      </c>
      <c r="G18" s="144">
        <f ca="1">'F12_Including POA'!$D$49/12</f>
        <v>2.1061962644066613E-2</v>
      </c>
      <c r="H18" s="144">
        <f ca="1">'F12_Including POA'!$D$49/12</f>
        <v>2.1061962644066613E-2</v>
      </c>
      <c r="I18" s="144">
        <f ca="1">'F12_Including POA'!$D$49/12</f>
        <v>2.1061962644066613E-2</v>
      </c>
      <c r="J18" s="144">
        <f ca="1">'F12_Including POA'!$D$49/12</f>
        <v>2.1061962644066613E-2</v>
      </c>
      <c r="K18" s="144">
        <f ca="1">'F12_Including POA'!$D$49/12</f>
        <v>2.1061962644066613E-2</v>
      </c>
      <c r="L18" s="144">
        <f ca="1">'F12_Including POA'!$D$49/12</f>
        <v>2.1061962644066613E-2</v>
      </c>
      <c r="M18" s="144">
        <f ca="1">'F12_Including POA'!$D$49/12</f>
        <v>2.1061962644066613E-2</v>
      </c>
      <c r="N18" s="144">
        <f ca="1">'F12_Including POA'!$D$49/12</f>
        <v>2.1061962644066613E-2</v>
      </c>
      <c r="O18" s="144">
        <f ca="1">'F12_Including POA'!$D$49/12</f>
        <v>2.1061962644066613E-2</v>
      </c>
      <c r="P18" s="144">
        <f t="shared" ca="1" si="0"/>
        <v>0.25274355172879942</v>
      </c>
      <c r="W18" s="322"/>
      <c r="X18" s="322"/>
      <c r="Y18" s="322"/>
      <c r="Z18" s="322"/>
      <c r="AA18" s="322"/>
    </row>
    <row r="19" spans="2:27" s="9" customFormat="1">
      <c r="B19" s="145" t="s">
        <v>608</v>
      </c>
      <c r="C19" s="151" t="s">
        <v>609</v>
      </c>
      <c r="D19" s="144">
        <f ca="1">'F12_Including POA'!$D$50/12</f>
        <v>3.7104675781144597E-2</v>
      </c>
      <c r="E19" s="144">
        <f ca="1">'F12_Including POA'!$D$50/12</f>
        <v>3.7104675781144597E-2</v>
      </c>
      <c r="F19" s="144">
        <f ca="1">'F12_Including POA'!$D$50/12</f>
        <v>3.7104675781144597E-2</v>
      </c>
      <c r="G19" s="144">
        <f ca="1">'F12_Including POA'!$D$50/12</f>
        <v>3.7104675781144597E-2</v>
      </c>
      <c r="H19" s="144">
        <f ca="1">'F12_Including POA'!$D$50/12</f>
        <v>3.7104675781144597E-2</v>
      </c>
      <c r="I19" s="144">
        <f ca="1">'F12_Including POA'!$D$50/12</f>
        <v>3.7104675781144597E-2</v>
      </c>
      <c r="J19" s="144">
        <f ca="1">'F12_Including POA'!$D$50/12</f>
        <v>3.7104675781144597E-2</v>
      </c>
      <c r="K19" s="144">
        <f ca="1">'F12_Including POA'!$D$50/12</f>
        <v>3.7104675781144597E-2</v>
      </c>
      <c r="L19" s="144">
        <f ca="1">'F12_Including POA'!$D$50/12</f>
        <v>3.7104675781144597E-2</v>
      </c>
      <c r="M19" s="144">
        <f ca="1">'F12_Including POA'!$D$50/12</f>
        <v>3.7104675781144597E-2</v>
      </c>
      <c r="N19" s="144">
        <f ca="1">'F12_Including POA'!$D$50/12</f>
        <v>3.7104675781144597E-2</v>
      </c>
      <c r="O19" s="144">
        <f ca="1">'F12_Including POA'!$D$50/12</f>
        <v>3.7104675781144597E-2</v>
      </c>
      <c r="P19" s="144">
        <f t="shared" ca="1" si="0"/>
        <v>0.44525610937373528</v>
      </c>
      <c r="W19" s="322"/>
      <c r="X19" s="322"/>
      <c r="Y19" s="322"/>
      <c r="Z19" s="322"/>
      <c r="AA19" s="322"/>
    </row>
    <row r="20" spans="2:27" s="9" customFormat="1">
      <c r="B20" s="145" t="s">
        <v>610</v>
      </c>
      <c r="C20" s="151" t="s">
        <v>611</v>
      </c>
      <c r="D20" s="144">
        <f ca="1">'F12_Including POA'!$D$51/12</f>
        <v>2.2118892147794705E-2</v>
      </c>
      <c r="E20" s="144">
        <f ca="1">'F12_Including POA'!$D$51/12</f>
        <v>2.2118892147794705E-2</v>
      </c>
      <c r="F20" s="144">
        <f ca="1">'F12_Including POA'!$D$51/12</f>
        <v>2.2118892147794705E-2</v>
      </c>
      <c r="G20" s="144">
        <f ca="1">'F12_Including POA'!$D$51/12</f>
        <v>2.2118892147794705E-2</v>
      </c>
      <c r="H20" s="144">
        <f ca="1">'F12_Including POA'!$D$51/12</f>
        <v>2.2118892147794705E-2</v>
      </c>
      <c r="I20" s="144">
        <f ca="1">'F12_Including POA'!$D$51/12</f>
        <v>2.2118892147794705E-2</v>
      </c>
      <c r="J20" s="144">
        <f ca="1">'F12_Including POA'!$D$51/12</f>
        <v>2.2118892147794705E-2</v>
      </c>
      <c r="K20" s="144">
        <f ca="1">'F12_Including POA'!$D$51/12</f>
        <v>2.2118892147794705E-2</v>
      </c>
      <c r="L20" s="144">
        <f ca="1">'F12_Including POA'!$D$51/12</f>
        <v>2.2118892147794705E-2</v>
      </c>
      <c r="M20" s="144">
        <f ca="1">'F12_Including POA'!$D$51/12</f>
        <v>2.2118892147794705E-2</v>
      </c>
      <c r="N20" s="144">
        <f ca="1">'F12_Including POA'!$D$51/12</f>
        <v>2.2118892147794705E-2</v>
      </c>
      <c r="O20" s="144">
        <f ca="1">'F12_Including POA'!$D$51/12</f>
        <v>2.2118892147794705E-2</v>
      </c>
      <c r="P20" s="144">
        <f t="shared" ca="1" si="0"/>
        <v>0.26542670577353639</v>
      </c>
      <c r="W20" s="322"/>
      <c r="X20" s="322"/>
      <c r="Y20" s="322"/>
      <c r="Z20" s="322"/>
      <c r="AA20" s="322"/>
    </row>
    <row r="21" spans="2:27" s="9" customFormat="1">
      <c r="B21" s="145" t="s">
        <v>612</v>
      </c>
      <c r="C21" s="151" t="s">
        <v>613</v>
      </c>
      <c r="D21" s="144">
        <f ca="1">'F12_Including POA'!$D$52/12</f>
        <v>1.4836403145982521E-2</v>
      </c>
      <c r="E21" s="144">
        <f ca="1">'F12_Including POA'!$D$52/12</f>
        <v>1.4836403145982521E-2</v>
      </c>
      <c r="F21" s="144">
        <f ca="1">'F12_Including POA'!$D$52/12</f>
        <v>1.4836403145982521E-2</v>
      </c>
      <c r="G21" s="144">
        <f ca="1">'F12_Including POA'!$D$52/12</f>
        <v>1.4836403145982521E-2</v>
      </c>
      <c r="H21" s="144">
        <f ca="1">'F12_Including POA'!$D$52/12</f>
        <v>1.4836403145982521E-2</v>
      </c>
      <c r="I21" s="144">
        <f ca="1">'F12_Including POA'!$D$52/12</f>
        <v>1.4836403145982521E-2</v>
      </c>
      <c r="J21" s="144">
        <f ca="1">'F12_Including POA'!$D$52/12</f>
        <v>1.4836403145982521E-2</v>
      </c>
      <c r="K21" s="144">
        <f ca="1">'F12_Including POA'!$D$52/12</f>
        <v>1.4836403145982521E-2</v>
      </c>
      <c r="L21" s="144">
        <f ca="1">'F12_Including POA'!$D$52/12</f>
        <v>1.4836403145982521E-2</v>
      </c>
      <c r="M21" s="144">
        <f ca="1">'F12_Including POA'!$D$52/12</f>
        <v>1.4836403145982521E-2</v>
      </c>
      <c r="N21" s="144">
        <f ca="1">'F12_Including POA'!$D$52/12</f>
        <v>1.4836403145982521E-2</v>
      </c>
      <c r="O21" s="144">
        <f ca="1">'F12_Including POA'!$D$52/12</f>
        <v>1.4836403145982521E-2</v>
      </c>
      <c r="P21" s="144">
        <f t="shared" ca="1" si="0"/>
        <v>0.17803683775179027</v>
      </c>
      <c r="W21" s="322"/>
      <c r="X21" s="322"/>
      <c r="Y21" s="322"/>
      <c r="Z21" s="322"/>
      <c r="AA21" s="322"/>
    </row>
    <row r="22" spans="2:27" s="9" customFormat="1">
      <c r="B22" s="145" t="s">
        <v>614</v>
      </c>
      <c r="C22" s="151" t="s">
        <v>615</v>
      </c>
      <c r="D22" s="144">
        <f ca="1">'F12_Including POA'!$D$53/12</f>
        <v>4.1611997232304859E-3</v>
      </c>
      <c r="E22" s="144">
        <f ca="1">'F12_Including POA'!$D$53/12</f>
        <v>4.1611997232304859E-3</v>
      </c>
      <c r="F22" s="144">
        <f ca="1">'F12_Including POA'!$D$53/12</f>
        <v>4.1611997232304859E-3</v>
      </c>
      <c r="G22" s="144">
        <f ca="1">'F12_Including POA'!$D$53/12</f>
        <v>4.1611997232304859E-3</v>
      </c>
      <c r="H22" s="144">
        <f ca="1">'F12_Including POA'!$D$53/12</f>
        <v>4.1611997232304859E-3</v>
      </c>
      <c r="I22" s="144">
        <f ca="1">'F12_Including POA'!$D$53/12</f>
        <v>4.1611997232304859E-3</v>
      </c>
      <c r="J22" s="144">
        <f ca="1">'F12_Including POA'!$D$53/12</f>
        <v>4.1611997232304859E-3</v>
      </c>
      <c r="K22" s="144">
        <f ca="1">'F12_Including POA'!$D$53/12</f>
        <v>4.1611997232304859E-3</v>
      </c>
      <c r="L22" s="144">
        <f ca="1">'F12_Including POA'!$D$53/12</f>
        <v>4.1611997232304859E-3</v>
      </c>
      <c r="M22" s="144">
        <f ca="1">'F12_Including POA'!$D$53/12</f>
        <v>4.1611997232304859E-3</v>
      </c>
      <c r="N22" s="144">
        <f ca="1">'F12_Including POA'!$D$53/12</f>
        <v>4.1611997232304859E-3</v>
      </c>
      <c r="O22" s="144">
        <f ca="1">'F12_Including POA'!$D$53/12</f>
        <v>4.1611997232304859E-3</v>
      </c>
      <c r="P22" s="144">
        <f t="shared" ca="1" si="0"/>
        <v>4.9934396678765834E-2</v>
      </c>
      <c r="W22" s="322"/>
      <c r="X22" s="322"/>
      <c r="Y22" s="322"/>
      <c r="Z22" s="322"/>
      <c r="AA22" s="322"/>
    </row>
    <row r="23" spans="2:27" s="9" customFormat="1">
      <c r="B23" s="145" t="s">
        <v>616</v>
      </c>
      <c r="C23" s="151" t="s">
        <v>617</v>
      </c>
      <c r="D23" s="144">
        <f ca="1">'F12_Including POA'!$D$54/12</f>
        <v>1.6511026324789379E-3</v>
      </c>
      <c r="E23" s="144">
        <f ca="1">'F12_Including POA'!$D$54/12</f>
        <v>1.6511026324789379E-3</v>
      </c>
      <c r="F23" s="144">
        <f ca="1">'F12_Including POA'!$D$54/12</f>
        <v>1.6511026324789379E-3</v>
      </c>
      <c r="G23" s="144">
        <f ca="1">'F12_Including POA'!$D$54/12</f>
        <v>1.6511026324789379E-3</v>
      </c>
      <c r="H23" s="144">
        <f ca="1">'F12_Including POA'!$D$54/12</f>
        <v>1.6511026324789379E-3</v>
      </c>
      <c r="I23" s="144">
        <f ca="1">'F12_Including POA'!$D$54/12</f>
        <v>1.6511026324789379E-3</v>
      </c>
      <c r="J23" s="144">
        <f ca="1">'F12_Including POA'!$D$54/12</f>
        <v>1.6511026324789379E-3</v>
      </c>
      <c r="K23" s="144">
        <f ca="1">'F12_Including POA'!$D$54/12</f>
        <v>1.6511026324789379E-3</v>
      </c>
      <c r="L23" s="144">
        <f ca="1">'F12_Including POA'!$D$54/12</f>
        <v>1.6511026324789379E-3</v>
      </c>
      <c r="M23" s="144">
        <f ca="1">'F12_Including POA'!$D$54/12</f>
        <v>1.6511026324789379E-3</v>
      </c>
      <c r="N23" s="144">
        <f ca="1">'F12_Including POA'!$D$54/12</f>
        <v>1.6511026324789379E-3</v>
      </c>
      <c r="O23" s="144">
        <f ca="1">'F12_Including POA'!$D$54/12</f>
        <v>1.6511026324789379E-3</v>
      </c>
      <c r="P23" s="144">
        <f t="shared" ca="1" si="0"/>
        <v>1.9813231589747262E-2</v>
      </c>
      <c r="W23" s="322"/>
      <c r="X23" s="322"/>
      <c r="Y23" s="322"/>
      <c r="Z23" s="322"/>
      <c r="AA23" s="322"/>
    </row>
    <row r="24" spans="2:27" s="9" customFormat="1">
      <c r="B24" s="145" t="s">
        <v>618</v>
      </c>
      <c r="C24" s="151" t="s">
        <v>619</v>
      </c>
      <c r="D24" s="144">
        <f ca="1">'F12_Including POA'!$D$55/12</f>
        <v>7.5900633077306504E-2</v>
      </c>
      <c r="E24" s="144">
        <f ca="1">'F12_Including POA'!$D$55/12</f>
        <v>7.5900633077306504E-2</v>
      </c>
      <c r="F24" s="144">
        <f ca="1">'F12_Including POA'!$D$55/12</f>
        <v>7.5900633077306504E-2</v>
      </c>
      <c r="G24" s="144">
        <f ca="1">'F12_Including POA'!$D$55/12</f>
        <v>7.5900633077306504E-2</v>
      </c>
      <c r="H24" s="144">
        <f ca="1">'F12_Including POA'!$D$55/12</f>
        <v>7.5900633077306504E-2</v>
      </c>
      <c r="I24" s="144">
        <f ca="1">'F12_Including POA'!$D$55/12</f>
        <v>7.5900633077306504E-2</v>
      </c>
      <c r="J24" s="144">
        <f ca="1">'F12_Including POA'!$D$55/12</f>
        <v>7.5900633077306504E-2</v>
      </c>
      <c r="K24" s="144">
        <f ca="1">'F12_Including POA'!$D$55/12</f>
        <v>7.5900633077306504E-2</v>
      </c>
      <c r="L24" s="144">
        <f ca="1">'F12_Including POA'!$D$55/12</f>
        <v>7.5900633077306504E-2</v>
      </c>
      <c r="M24" s="144">
        <f ca="1">'F12_Including POA'!$D$55/12</f>
        <v>7.5900633077306504E-2</v>
      </c>
      <c r="N24" s="144">
        <f ca="1">'F12_Including POA'!$D$55/12</f>
        <v>7.5900633077306504E-2</v>
      </c>
      <c r="O24" s="144">
        <f ca="1">'F12_Including POA'!$D$55/12</f>
        <v>7.5900633077306504E-2</v>
      </c>
      <c r="P24" s="144">
        <f t="shared" ca="1" si="0"/>
        <v>0.91080759692767821</v>
      </c>
      <c r="W24" s="322"/>
      <c r="X24" s="322"/>
      <c r="Y24" s="322"/>
      <c r="Z24" s="322"/>
      <c r="AA24" s="322"/>
    </row>
    <row r="25" spans="2:27" s="9" customFormat="1">
      <c r="B25" s="145"/>
      <c r="C25" s="151" t="s">
        <v>620</v>
      </c>
      <c r="D25" s="144">
        <f ca="1">'F12_Including POA'!$D$56/12</f>
        <v>4.1396191404126766E-2</v>
      </c>
      <c r="E25" s="144">
        <f ca="1">'F12_Including POA'!$D$56/12</f>
        <v>4.1396191404126766E-2</v>
      </c>
      <c r="F25" s="144">
        <f ca="1">'F12_Including POA'!$D$56/12</f>
        <v>4.1396191404126766E-2</v>
      </c>
      <c r="G25" s="144">
        <f ca="1">'F12_Including POA'!$D$56/12</f>
        <v>4.1396191404126766E-2</v>
      </c>
      <c r="H25" s="144">
        <f ca="1">'F12_Including POA'!$D$56/12</f>
        <v>4.1396191404126766E-2</v>
      </c>
      <c r="I25" s="144">
        <f ca="1">'F12_Including POA'!$D$56/12</f>
        <v>4.1396191404126766E-2</v>
      </c>
      <c r="J25" s="144">
        <f ca="1">'F12_Including POA'!$D$56/12</f>
        <v>4.1396191404126766E-2</v>
      </c>
      <c r="K25" s="144">
        <f ca="1">'F12_Including POA'!$D$56/12</f>
        <v>4.1396191404126766E-2</v>
      </c>
      <c r="L25" s="144">
        <f ca="1">'F12_Including POA'!$D$56/12</f>
        <v>4.1396191404126766E-2</v>
      </c>
      <c r="M25" s="144">
        <f ca="1">'F12_Including POA'!$D$56/12</f>
        <v>4.1396191404126766E-2</v>
      </c>
      <c r="N25" s="144">
        <f ca="1">'F12_Including POA'!$D$56/12</f>
        <v>4.1396191404126766E-2</v>
      </c>
      <c r="O25" s="144">
        <f ca="1">'F12_Including POA'!$D$56/12</f>
        <v>4.1396191404126766E-2</v>
      </c>
      <c r="P25" s="144">
        <f t="shared" ca="1" si="0"/>
        <v>0.49675429684952116</v>
      </c>
      <c r="W25" s="322"/>
      <c r="X25" s="322"/>
      <c r="Y25" s="322"/>
      <c r="Z25" s="322"/>
      <c r="AA25" s="322"/>
    </row>
    <row r="26" spans="2:27" s="9" customFormat="1">
      <c r="B26" s="145"/>
      <c r="C26" s="151" t="s">
        <v>621</v>
      </c>
      <c r="D26" s="144">
        <f ca="1">'F12_Including POA'!$D$57/12</f>
        <v>2.8987893681612243E-2</v>
      </c>
      <c r="E26" s="144">
        <f ca="1">'F12_Including POA'!$D$57/12</f>
        <v>2.8987893681612243E-2</v>
      </c>
      <c r="F26" s="144">
        <f ca="1">'F12_Including POA'!$D$57/12</f>
        <v>2.8987893681612243E-2</v>
      </c>
      <c r="G26" s="144">
        <f ca="1">'F12_Including POA'!$D$57/12</f>
        <v>2.8987893681612243E-2</v>
      </c>
      <c r="H26" s="144">
        <f ca="1">'F12_Including POA'!$D$57/12</f>
        <v>2.8987893681612243E-2</v>
      </c>
      <c r="I26" s="144">
        <f ca="1">'F12_Including POA'!$D$57/12</f>
        <v>2.8987893681612243E-2</v>
      </c>
      <c r="J26" s="144">
        <f ca="1">'F12_Including POA'!$D$57/12</f>
        <v>2.8987893681612243E-2</v>
      </c>
      <c r="K26" s="144">
        <f ca="1">'F12_Including POA'!$D$57/12</f>
        <v>2.8987893681612243E-2</v>
      </c>
      <c r="L26" s="144">
        <f ca="1">'F12_Including POA'!$D$57/12</f>
        <v>2.8987893681612243E-2</v>
      </c>
      <c r="M26" s="144">
        <f ca="1">'F12_Including POA'!$D$57/12</f>
        <v>2.8987893681612243E-2</v>
      </c>
      <c r="N26" s="144">
        <f ca="1">'F12_Including POA'!$D$57/12</f>
        <v>2.8987893681612243E-2</v>
      </c>
      <c r="O26" s="144">
        <f ca="1">'F12_Including POA'!$D$57/12</f>
        <v>2.8987893681612243E-2</v>
      </c>
      <c r="P26" s="144">
        <f t="shared" ca="1" si="0"/>
        <v>0.34785472417934699</v>
      </c>
      <c r="W26" s="322"/>
      <c r="X26" s="322"/>
      <c r="Y26" s="322"/>
      <c r="Z26" s="322"/>
      <c r="AA26" s="322"/>
    </row>
    <row r="27" spans="2:27" s="9" customFormat="1">
      <c r="B27" s="145"/>
      <c r="C27" s="151" t="s">
        <v>622</v>
      </c>
      <c r="D27" s="144">
        <f ca="1">'F12_Including POA'!$D$58/12</f>
        <v>5.4582820395090555E-2</v>
      </c>
      <c r="E27" s="144">
        <f ca="1">'F12_Including POA'!$D$58/12</f>
        <v>5.4582820395090555E-2</v>
      </c>
      <c r="F27" s="144">
        <f ca="1">'F12_Including POA'!$D$58/12</f>
        <v>5.4582820395090555E-2</v>
      </c>
      <c r="G27" s="144">
        <f ca="1">'F12_Including POA'!$D$58/12</f>
        <v>5.4582820395090555E-2</v>
      </c>
      <c r="H27" s="144">
        <f ca="1">'F12_Including POA'!$D$58/12</f>
        <v>5.4582820395090555E-2</v>
      </c>
      <c r="I27" s="144">
        <f ca="1">'F12_Including POA'!$D$58/12</f>
        <v>5.4582820395090555E-2</v>
      </c>
      <c r="J27" s="144">
        <f ca="1">'F12_Including POA'!$D$58/12</f>
        <v>5.4582820395090555E-2</v>
      </c>
      <c r="K27" s="144">
        <f ca="1">'F12_Including POA'!$D$58/12</f>
        <v>5.4582820395090555E-2</v>
      </c>
      <c r="L27" s="144">
        <f ca="1">'F12_Including POA'!$D$58/12</f>
        <v>5.4582820395090555E-2</v>
      </c>
      <c r="M27" s="144">
        <f ca="1">'F12_Including POA'!$D$58/12</f>
        <v>5.4582820395090555E-2</v>
      </c>
      <c r="N27" s="144">
        <f ca="1">'F12_Including POA'!$D$58/12</f>
        <v>5.4582820395090555E-2</v>
      </c>
      <c r="O27" s="144">
        <f ca="1">'F12_Including POA'!$D$58/12</f>
        <v>5.4582820395090555E-2</v>
      </c>
      <c r="P27" s="144">
        <f t="shared" ca="1" si="0"/>
        <v>0.65499384474108668</v>
      </c>
      <c r="W27" s="322"/>
      <c r="X27" s="322"/>
      <c r="Y27" s="322"/>
      <c r="Z27" s="322"/>
      <c r="AA27" s="322"/>
    </row>
    <row r="28" spans="2:27" s="9" customFormat="1">
      <c r="B28" s="145"/>
      <c r="C28" s="151" t="s">
        <v>622</v>
      </c>
      <c r="D28" s="144">
        <f ca="1">'F12_Including POA'!$D$59/12</f>
        <v>5.4582820395090555E-2</v>
      </c>
      <c r="E28" s="144">
        <f ca="1">'F12_Including POA'!$D$59/12</f>
        <v>5.4582820395090555E-2</v>
      </c>
      <c r="F28" s="144">
        <f ca="1">'F12_Including POA'!$D$59/12</f>
        <v>5.4582820395090555E-2</v>
      </c>
      <c r="G28" s="144">
        <f ca="1">'F12_Including POA'!$D$59/12</f>
        <v>5.4582820395090555E-2</v>
      </c>
      <c r="H28" s="144">
        <f ca="1">'F12_Including POA'!$D$59/12</f>
        <v>5.4582820395090555E-2</v>
      </c>
      <c r="I28" s="144">
        <f ca="1">'F12_Including POA'!$D$59/12</f>
        <v>5.4582820395090555E-2</v>
      </c>
      <c r="J28" s="144">
        <f ca="1">'F12_Including POA'!$D$59/12</f>
        <v>5.4582820395090555E-2</v>
      </c>
      <c r="K28" s="144">
        <f ca="1">'F12_Including POA'!$D$59/12</f>
        <v>5.4582820395090555E-2</v>
      </c>
      <c r="L28" s="144">
        <f ca="1">'F12_Including POA'!$D$59/12</f>
        <v>5.4582820395090555E-2</v>
      </c>
      <c r="M28" s="144">
        <f ca="1">'F12_Including POA'!$D$59/12</f>
        <v>5.4582820395090555E-2</v>
      </c>
      <c r="N28" s="144">
        <f ca="1">'F12_Including POA'!$D$59/12</f>
        <v>5.4582820395090555E-2</v>
      </c>
      <c r="O28" s="144">
        <f ca="1">'F12_Including POA'!$D$59/12</f>
        <v>5.4582820395090555E-2</v>
      </c>
      <c r="P28" s="144">
        <f t="shared" ca="1" si="0"/>
        <v>0.65499384474108668</v>
      </c>
      <c r="W28" s="322"/>
      <c r="X28" s="322"/>
      <c r="Y28" s="322"/>
      <c r="Z28" s="322"/>
      <c r="AA28" s="322"/>
    </row>
    <row r="29" spans="2:27" s="9" customFormat="1">
      <c r="B29" s="142">
        <v>2</v>
      </c>
      <c r="C29" s="143" t="s">
        <v>623</v>
      </c>
      <c r="D29" s="144"/>
      <c r="E29" s="144"/>
      <c r="F29" s="144"/>
      <c r="G29" s="144"/>
      <c r="H29" s="144"/>
      <c r="I29" s="144"/>
      <c r="J29" s="144"/>
      <c r="K29" s="144"/>
      <c r="L29" s="144"/>
      <c r="M29" s="144"/>
      <c r="N29" s="144"/>
      <c r="O29" s="144"/>
      <c r="P29" s="144"/>
      <c r="W29" s="323"/>
      <c r="X29" s="323"/>
      <c r="Y29" s="323"/>
      <c r="Z29" s="323"/>
      <c r="AA29" s="323"/>
    </row>
    <row r="30" spans="2:27" s="9" customFormat="1">
      <c r="B30" s="145" t="s">
        <v>590</v>
      </c>
      <c r="C30" s="146"/>
      <c r="D30" s="395">
        <v>0</v>
      </c>
      <c r="E30" s="395">
        <v>0</v>
      </c>
      <c r="F30" s="395">
        <v>0</v>
      </c>
      <c r="G30" s="395">
        <v>0</v>
      </c>
      <c r="H30" s="395">
        <v>0</v>
      </c>
      <c r="I30" s="395">
        <v>0</v>
      </c>
      <c r="J30" s="395">
        <v>0</v>
      </c>
      <c r="K30" s="395">
        <v>0</v>
      </c>
      <c r="L30" s="395">
        <v>0</v>
      </c>
      <c r="M30" s="395">
        <v>0</v>
      </c>
      <c r="N30" s="395">
        <v>0</v>
      </c>
      <c r="O30" s="395">
        <v>0</v>
      </c>
      <c r="P30" s="144"/>
    </row>
    <row r="31" spans="2:27" s="9" customFormat="1">
      <c r="B31" s="145"/>
      <c r="C31" s="146"/>
      <c r="D31" s="144"/>
      <c r="E31" s="144"/>
      <c r="F31" s="144"/>
      <c r="G31" s="144"/>
      <c r="H31" s="144"/>
      <c r="I31" s="144"/>
      <c r="J31" s="144"/>
      <c r="K31" s="144"/>
      <c r="L31" s="144"/>
      <c r="M31" s="144"/>
      <c r="N31" s="144"/>
      <c r="O31" s="144"/>
      <c r="P31" s="144"/>
    </row>
    <row r="32" spans="2:27" s="9" customFormat="1">
      <c r="B32" s="142"/>
      <c r="C32" s="146"/>
      <c r="D32" s="144"/>
      <c r="E32" s="144"/>
      <c r="F32" s="144"/>
      <c r="G32" s="144"/>
      <c r="H32" s="144"/>
      <c r="I32" s="144"/>
      <c r="J32" s="144"/>
      <c r="K32" s="144"/>
      <c r="L32" s="144"/>
      <c r="M32" s="144"/>
      <c r="N32" s="144"/>
      <c r="O32" s="144"/>
      <c r="P32" s="144"/>
    </row>
    <row r="33" spans="2:27" s="9" customFormat="1">
      <c r="B33" s="142">
        <v>3</v>
      </c>
      <c r="C33" s="143" t="s">
        <v>624</v>
      </c>
      <c r="D33" s="144">
        <v>0</v>
      </c>
      <c r="E33" s="144">
        <v>0</v>
      </c>
      <c r="F33" s="144">
        <v>0</v>
      </c>
      <c r="G33" s="144">
        <v>0</v>
      </c>
      <c r="H33" s="144">
        <v>0</v>
      </c>
      <c r="I33" s="144">
        <v>0</v>
      </c>
      <c r="J33" s="144">
        <v>0</v>
      </c>
      <c r="K33" s="144">
        <v>0</v>
      </c>
      <c r="L33" s="144">
        <v>0</v>
      </c>
      <c r="M33" s="144">
        <v>0</v>
      </c>
      <c r="N33" s="144">
        <v>0</v>
      </c>
      <c r="O33" s="144">
        <v>0</v>
      </c>
      <c r="P33" s="144">
        <f t="shared" si="0"/>
        <v>0</v>
      </c>
      <c r="W33" s="322"/>
      <c r="X33" s="322"/>
      <c r="Y33" s="322"/>
      <c r="Z33" s="322"/>
      <c r="AA33" s="322"/>
    </row>
    <row r="34" spans="2:27" s="9" customFormat="1">
      <c r="B34" s="142"/>
      <c r="C34" s="143"/>
      <c r="D34" s="144"/>
      <c r="E34" s="144"/>
      <c r="F34" s="144"/>
      <c r="G34" s="144"/>
      <c r="H34" s="144"/>
      <c r="I34" s="144"/>
      <c r="J34" s="144"/>
      <c r="K34" s="144"/>
      <c r="L34" s="144"/>
      <c r="M34" s="144"/>
      <c r="N34" s="144"/>
      <c r="O34" s="144"/>
      <c r="P34" s="144">
        <f t="shared" si="0"/>
        <v>0</v>
      </c>
      <c r="W34" s="322"/>
      <c r="X34" s="322"/>
      <c r="Y34" s="322"/>
      <c r="Z34" s="322"/>
      <c r="AA34" s="322"/>
    </row>
    <row r="35" spans="2:27" s="9" customFormat="1">
      <c r="B35" s="142"/>
      <c r="C35" s="143"/>
      <c r="D35" s="144"/>
      <c r="E35" s="144"/>
      <c r="F35" s="144"/>
      <c r="G35" s="144"/>
      <c r="H35" s="144"/>
      <c r="I35" s="144"/>
      <c r="J35" s="144"/>
      <c r="K35" s="144"/>
      <c r="L35" s="144"/>
      <c r="M35" s="144"/>
      <c r="N35" s="144"/>
      <c r="O35" s="144"/>
      <c r="P35" s="144">
        <f t="shared" si="0"/>
        <v>0</v>
      </c>
      <c r="W35" s="322"/>
      <c r="X35" s="322"/>
      <c r="Y35" s="322"/>
      <c r="Z35" s="322"/>
      <c r="AA35" s="322"/>
    </row>
    <row r="36" spans="2:27" s="8" customFormat="1">
      <c r="B36" s="147">
        <v>4</v>
      </c>
      <c r="C36" s="148" t="s">
        <v>625</v>
      </c>
      <c r="D36" s="324">
        <f ca="1">SUM(D10:D35)</f>
        <v>72.833941839701424</v>
      </c>
      <c r="E36" s="324">
        <f t="shared" ref="E36:P36" ca="1" si="1">SUM(E9:E35)</f>
        <v>72.833941839701424</v>
      </c>
      <c r="F36" s="324">
        <f t="shared" ca="1" si="1"/>
        <v>72.833941839701424</v>
      </c>
      <c r="G36" s="324">
        <f t="shared" ca="1" si="1"/>
        <v>72.833941839701424</v>
      </c>
      <c r="H36" s="324">
        <f t="shared" ca="1" si="1"/>
        <v>72.833941839701424</v>
      </c>
      <c r="I36" s="324">
        <f t="shared" ca="1" si="1"/>
        <v>72.833941839701424</v>
      </c>
      <c r="J36" s="324">
        <f t="shared" ca="1" si="1"/>
        <v>72.833941839701424</v>
      </c>
      <c r="K36" s="324">
        <f t="shared" ca="1" si="1"/>
        <v>72.833941839701424</v>
      </c>
      <c r="L36" s="324">
        <f t="shared" ca="1" si="1"/>
        <v>72.833941839701424</v>
      </c>
      <c r="M36" s="324">
        <f t="shared" ca="1" si="1"/>
        <v>72.833941839701424</v>
      </c>
      <c r="N36" s="324">
        <f t="shared" ca="1" si="1"/>
        <v>72.833941839701424</v>
      </c>
      <c r="O36" s="324">
        <f t="shared" ca="1" si="1"/>
        <v>72.833941839701424</v>
      </c>
      <c r="P36" s="324">
        <f t="shared" ca="1" si="1"/>
        <v>874.00730207641686</v>
      </c>
      <c r="W36" s="322"/>
      <c r="X36" s="322"/>
      <c r="Y36" s="322"/>
      <c r="Z36" s="322"/>
      <c r="AA36" s="322"/>
    </row>
    <row r="37" spans="2:27">
      <c r="W37" s="322"/>
      <c r="X37" s="322"/>
      <c r="Y37" s="322"/>
      <c r="Z37" s="322"/>
      <c r="AA37" s="322"/>
    </row>
    <row r="38" spans="2:27">
      <c r="W38" s="322"/>
      <c r="X38" s="322"/>
      <c r="Y38" s="322"/>
      <c r="Z38" s="322"/>
      <c r="AA38" s="322"/>
    </row>
    <row r="39" spans="2:27">
      <c r="C39" s="7"/>
      <c r="G39" s="7"/>
      <c r="I39" s="8"/>
      <c r="W39" s="322"/>
      <c r="X39" s="322"/>
      <c r="Y39" s="322"/>
      <c r="Z39" s="322"/>
      <c r="AA39" s="322"/>
    </row>
    <row r="40" spans="2:27">
      <c r="B40" s="8" t="s">
        <v>626</v>
      </c>
      <c r="C40" s="7"/>
      <c r="G40" s="7"/>
      <c r="I40" s="8"/>
      <c r="L40" s="8"/>
      <c r="W40" s="322"/>
      <c r="X40" s="322"/>
      <c r="Y40" s="322"/>
      <c r="Z40" s="322"/>
      <c r="AA40" s="322"/>
    </row>
    <row r="41" spans="2:27">
      <c r="C41" s="7"/>
      <c r="G41" s="7"/>
      <c r="I41" s="8"/>
      <c r="L41" s="8"/>
      <c r="P41" s="8" t="s">
        <v>52</v>
      </c>
      <c r="W41" s="322"/>
      <c r="X41" s="322"/>
      <c r="Y41" s="322"/>
      <c r="Z41" s="322"/>
      <c r="AA41" s="322"/>
    </row>
    <row r="42" spans="2:27">
      <c r="B42" s="140" t="s">
        <v>576</v>
      </c>
      <c r="C42" s="140" t="s">
        <v>53</v>
      </c>
      <c r="D42" s="141" t="s">
        <v>577</v>
      </c>
      <c r="E42" s="141" t="s">
        <v>578</v>
      </c>
      <c r="F42" s="141" t="s">
        <v>579</v>
      </c>
      <c r="G42" s="141" t="s">
        <v>580</v>
      </c>
      <c r="H42" s="141" t="s">
        <v>581</v>
      </c>
      <c r="I42" s="141" t="s">
        <v>582</v>
      </c>
      <c r="J42" s="141" t="s">
        <v>583</v>
      </c>
      <c r="K42" s="141" t="s">
        <v>584</v>
      </c>
      <c r="L42" s="141" t="s">
        <v>585</v>
      </c>
      <c r="M42" s="141" t="s">
        <v>586</v>
      </c>
      <c r="N42" s="141" t="s">
        <v>587</v>
      </c>
      <c r="O42" s="141" t="s">
        <v>588</v>
      </c>
      <c r="P42" s="141" t="s">
        <v>219</v>
      </c>
      <c r="W42" s="322"/>
      <c r="X42" s="322"/>
      <c r="Y42" s="322"/>
      <c r="Z42" s="322"/>
      <c r="AA42" s="322"/>
    </row>
    <row r="43" spans="2:27" s="9" customFormat="1">
      <c r="B43" s="142">
        <v>1</v>
      </c>
      <c r="C43" s="143" t="s">
        <v>589</v>
      </c>
      <c r="E43" s="144"/>
      <c r="F43" s="144"/>
      <c r="G43" s="144"/>
      <c r="H43" s="144"/>
      <c r="I43" s="144"/>
      <c r="J43" s="144"/>
      <c r="K43" s="144"/>
      <c r="L43" s="144"/>
      <c r="M43" s="144"/>
      <c r="N43" s="144"/>
      <c r="O43" s="144"/>
      <c r="P43" s="144"/>
      <c r="W43" s="322"/>
      <c r="X43" s="322"/>
      <c r="Y43" s="322"/>
      <c r="Z43" s="322"/>
      <c r="AA43" s="322"/>
    </row>
    <row r="44" spans="2:27" s="9" customFormat="1">
      <c r="B44" s="145" t="s">
        <v>590</v>
      </c>
      <c r="C44" s="151" t="s">
        <v>591</v>
      </c>
      <c r="D44" s="144">
        <f ca="1">'F12_Including POA'!$E$41/12</f>
        <v>65.153907906144497</v>
      </c>
      <c r="E44" s="144">
        <f ca="1">'F12_Including POA'!$E$41/12</f>
        <v>65.153907906144497</v>
      </c>
      <c r="F44" s="144">
        <f ca="1">'F12_Including POA'!$E$41/12</f>
        <v>65.153907906144497</v>
      </c>
      <c r="G44" s="144">
        <f ca="1">'F12_Including POA'!$E$41/12</f>
        <v>65.153907906144497</v>
      </c>
      <c r="H44" s="144">
        <f ca="1">'F12_Including POA'!$E$41/12</f>
        <v>65.153907906144497</v>
      </c>
      <c r="I44" s="144">
        <f ca="1">'F12_Including POA'!$E$41/12</f>
        <v>65.153907906144497</v>
      </c>
      <c r="J44" s="144">
        <f ca="1">'F12_Including POA'!$E$41/12</f>
        <v>65.153907906144497</v>
      </c>
      <c r="K44" s="144">
        <f ca="1">'F12_Including POA'!$E$41/12</f>
        <v>65.153907906144497</v>
      </c>
      <c r="L44" s="144">
        <f ca="1">'F12_Including POA'!$E$41/12</f>
        <v>65.153907906144497</v>
      </c>
      <c r="M44" s="144">
        <f ca="1">'F12_Including POA'!$E$41/12</f>
        <v>65.153907906144497</v>
      </c>
      <c r="N44" s="144">
        <f ca="1">'F12_Including POA'!$E$41/12</f>
        <v>65.153907906144497</v>
      </c>
      <c r="O44" s="144">
        <f ca="1">'F12_Including POA'!$E$41/12</f>
        <v>65.153907906144497</v>
      </c>
      <c r="P44" s="144">
        <f t="shared" ref="P44:P68" ca="1" si="2">SUM(D44:O44)</f>
        <v>781.84689487373373</v>
      </c>
      <c r="W44" s="322"/>
      <c r="X44" s="322"/>
      <c r="Y44" s="322"/>
      <c r="Z44" s="322"/>
      <c r="AA44" s="322"/>
    </row>
    <row r="45" spans="2:27" s="9" customFormat="1">
      <c r="B45" s="145" t="s">
        <v>592</v>
      </c>
      <c r="C45" s="151" t="s">
        <v>593</v>
      </c>
      <c r="D45" s="144">
        <f ca="1">'F12_Including POA'!$E$42/12</f>
        <v>2.6330625069662696</v>
      </c>
      <c r="E45" s="144">
        <f ca="1">'F12_Including POA'!$E$42/12</f>
        <v>2.6330625069662696</v>
      </c>
      <c r="F45" s="144">
        <f ca="1">'F12_Including POA'!$E$42/12</f>
        <v>2.6330625069662696</v>
      </c>
      <c r="G45" s="144">
        <f ca="1">'F12_Including POA'!$E$42/12</f>
        <v>2.6330625069662696</v>
      </c>
      <c r="H45" s="144">
        <f ca="1">'F12_Including POA'!$E$42/12</f>
        <v>2.6330625069662696</v>
      </c>
      <c r="I45" s="144">
        <f ca="1">'F12_Including POA'!$E$42/12</f>
        <v>2.6330625069662696</v>
      </c>
      <c r="J45" s="144">
        <f ca="1">'F12_Including POA'!$E$42/12</f>
        <v>2.6330625069662696</v>
      </c>
      <c r="K45" s="144">
        <f ca="1">'F12_Including POA'!$E$42/12</f>
        <v>2.6330625069662696</v>
      </c>
      <c r="L45" s="144">
        <f ca="1">'F12_Including POA'!$E$42/12</f>
        <v>2.6330625069662696</v>
      </c>
      <c r="M45" s="144">
        <f ca="1">'F12_Including POA'!$E$42/12</f>
        <v>2.6330625069662696</v>
      </c>
      <c r="N45" s="144">
        <f ca="1">'F12_Including POA'!$E$42/12</f>
        <v>2.6330625069662696</v>
      </c>
      <c r="O45" s="144">
        <f ca="1">'F12_Including POA'!$E$42/12</f>
        <v>2.6330625069662696</v>
      </c>
      <c r="P45" s="144">
        <f t="shared" ca="1" si="2"/>
        <v>31.596750083595229</v>
      </c>
      <c r="W45" s="322"/>
      <c r="X45" s="322"/>
      <c r="Y45" s="322"/>
      <c r="Z45" s="322"/>
      <c r="AA45" s="322"/>
    </row>
    <row r="46" spans="2:27" s="9" customFormat="1">
      <c r="B46" s="145" t="s">
        <v>594</v>
      </c>
      <c r="C46" s="151" t="s">
        <v>595</v>
      </c>
      <c r="D46" s="144">
        <f ca="1">'F12_Including POA'!$E$43/12</f>
        <v>4.6975746934630083</v>
      </c>
      <c r="E46" s="144">
        <f ca="1">'F12_Including POA'!$E$43/12</f>
        <v>4.6975746934630083</v>
      </c>
      <c r="F46" s="144">
        <f ca="1">'F12_Including POA'!$E$43/12</f>
        <v>4.6975746934630083</v>
      </c>
      <c r="G46" s="144">
        <f ca="1">'F12_Including POA'!$E$43/12</f>
        <v>4.6975746934630083</v>
      </c>
      <c r="H46" s="144">
        <f ca="1">'F12_Including POA'!$E$43/12</f>
        <v>4.6975746934630083</v>
      </c>
      <c r="I46" s="144">
        <f ca="1">'F12_Including POA'!$E$43/12</f>
        <v>4.6975746934630083</v>
      </c>
      <c r="J46" s="144">
        <f ca="1">'F12_Including POA'!$E$43/12</f>
        <v>4.6975746934630083</v>
      </c>
      <c r="K46" s="144">
        <f ca="1">'F12_Including POA'!$E$43/12</f>
        <v>4.6975746934630083</v>
      </c>
      <c r="L46" s="144">
        <f ca="1">'F12_Including POA'!$E$43/12</f>
        <v>4.6975746934630083</v>
      </c>
      <c r="M46" s="144">
        <f ca="1">'F12_Including POA'!$E$43/12</f>
        <v>4.6975746934630083</v>
      </c>
      <c r="N46" s="144">
        <f ca="1">'F12_Including POA'!$E$43/12</f>
        <v>4.6975746934630083</v>
      </c>
      <c r="O46" s="144">
        <f ca="1">'F12_Including POA'!$E$43/12</f>
        <v>4.6975746934630083</v>
      </c>
      <c r="P46" s="144">
        <f t="shared" ca="1" si="2"/>
        <v>56.37089632155611</v>
      </c>
      <c r="W46" s="322"/>
      <c r="X46" s="322"/>
      <c r="Y46" s="322"/>
      <c r="Z46" s="322"/>
      <c r="AA46" s="322"/>
    </row>
    <row r="47" spans="2:27" s="9" customFormat="1">
      <c r="B47" s="145" t="s">
        <v>596</v>
      </c>
      <c r="C47" s="151" t="s">
        <v>597</v>
      </c>
      <c r="D47" s="144">
        <f ca="1">'F12_Including POA'!$E$44/12</f>
        <v>2.2159060132086608</v>
      </c>
      <c r="E47" s="144">
        <f ca="1">'F12_Including POA'!$E$44/12</f>
        <v>2.2159060132086608</v>
      </c>
      <c r="F47" s="144">
        <f ca="1">'F12_Including POA'!$E$44/12</f>
        <v>2.2159060132086608</v>
      </c>
      <c r="G47" s="144">
        <f ca="1">'F12_Including POA'!$E$44/12</f>
        <v>2.2159060132086608</v>
      </c>
      <c r="H47" s="144">
        <f ca="1">'F12_Including POA'!$E$44/12</f>
        <v>2.2159060132086608</v>
      </c>
      <c r="I47" s="144">
        <f ca="1">'F12_Including POA'!$E$44/12</f>
        <v>2.2159060132086608</v>
      </c>
      <c r="J47" s="144">
        <f ca="1">'F12_Including POA'!$E$44/12</f>
        <v>2.2159060132086608</v>
      </c>
      <c r="K47" s="144">
        <f ca="1">'F12_Including POA'!$E$44/12</f>
        <v>2.2159060132086608</v>
      </c>
      <c r="L47" s="144">
        <f ca="1">'F12_Including POA'!$E$44/12</f>
        <v>2.2159060132086608</v>
      </c>
      <c r="M47" s="144">
        <f ca="1">'F12_Including POA'!$E$44/12</f>
        <v>2.2159060132086608</v>
      </c>
      <c r="N47" s="144">
        <f ca="1">'F12_Including POA'!$E$44/12</f>
        <v>2.2159060132086608</v>
      </c>
      <c r="O47" s="144">
        <f ca="1">'F12_Including POA'!$E$44/12</f>
        <v>2.2159060132086608</v>
      </c>
      <c r="P47" s="144">
        <f t="shared" ca="1" si="2"/>
        <v>26.590872158503924</v>
      </c>
      <c r="W47" s="322"/>
      <c r="X47" s="322"/>
      <c r="Y47" s="322"/>
      <c r="Z47" s="322"/>
      <c r="AA47" s="322"/>
    </row>
    <row r="48" spans="2:27" s="9" customFormat="1">
      <c r="B48" s="145" t="s">
        <v>598</v>
      </c>
      <c r="C48" s="151" t="s">
        <v>599</v>
      </c>
      <c r="D48" s="144">
        <f ca="1">'F12_Including POA'!$E$45/12</f>
        <v>1.4466793648794456</v>
      </c>
      <c r="E48" s="144">
        <f ca="1">'F12_Including POA'!$E$45/12</f>
        <v>1.4466793648794456</v>
      </c>
      <c r="F48" s="144">
        <f ca="1">'F12_Including POA'!$E$45/12</f>
        <v>1.4466793648794456</v>
      </c>
      <c r="G48" s="144">
        <f ca="1">'F12_Including POA'!$E$45/12</f>
        <v>1.4466793648794456</v>
      </c>
      <c r="H48" s="144">
        <f ca="1">'F12_Including POA'!$E$45/12</f>
        <v>1.4466793648794456</v>
      </c>
      <c r="I48" s="144">
        <f ca="1">'F12_Including POA'!$E$45/12</f>
        <v>1.4466793648794456</v>
      </c>
      <c r="J48" s="144">
        <f ca="1">'F12_Including POA'!$E$45/12</f>
        <v>1.4466793648794456</v>
      </c>
      <c r="K48" s="144">
        <f ca="1">'F12_Including POA'!$E$45/12</f>
        <v>1.4466793648794456</v>
      </c>
      <c r="L48" s="144">
        <f ca="1">'F12_Including POA'!$E$45/12</f>
        <v>1.4466793648794456</v>
      </c>
      <c r="M48" s="144">
        <f ca="1">'F12_Including POA'!$E$45/12</f>
        <v>1.4466793648794456</v>
      </c>
      <c r="N48" s="144">
        <f ca="1">'F12_Including POA'!$E$45/12</f>
        <v>1.4466793648794456</v>
      </c>
      <c r="O48" s="144">
        <f ca="1">'F12_Including POA'!$E$45/12</f>
        <v>1.4466793648794456</v>
      </c>
      <c r="P48" s="144">
        <f t="shared" ca="1" si="2"/>
        <v>17.360152378553348</v>
      </c>
      <c r="W48" s="322"/>
      <c r="X48" s="322"/>
      <c r="Y48" s="322"/>
      <c r="Z48" s="322"/>
      <c r="AA48" s="322"/>
    </row>
    <row r="49" spans="2:27" s="9" customFormat="1">
      <c r="B49" s="145" t="s">
        <v>600</v>
      </c>
      <c r="C49" s="151" t="s">
        <v>601</v>
      </c>
      <c r="D49" s="144">
        <f ca="1">'F12_Including POA'!$E$46/12</f>
        <v>2.611501641003831E-2</v>
      </c>
      <c r="E49" s="144">
        <f ca="1">'F12_Including POA'!$E$46/12</f>
        <v>2.611501641003831E-2</v>
      </c>
      <c r="F49" s="144">
        <f ca="1">'F12_Including POA'!$E$46/12</f>
        <v>2.611501641003831E-2</v>
      </c>
      <c r="G49" s="144">
        <f ca="1">'F12_Including POA'!$E$46/12</f>
        <v>2.611501641003831E-2</v>
      </c>
      <c r="H49" s="144">
        <f ca="1">'F12_Including POA'!$E$46/12</f>
        <v>2.611501641003831E-2</v>
      </c>
      <c r="I49" s="144">
        <f ca="1">'F12_Including POA'!$E$46/12</f>
        <v>2.611501641003831E-2</v>
      </c>
      <c r="J49" s="144">
        <f ca="1">'F12_Including POA'!$E$46/12</f>
        <v>2.611501641003831E-2</v>
      </c>
      <c r="K49" s="144">
        <f ca="1">'F12_Including POA'!$E$46/12</f>
        <v>2.611501641003831E-2</v>
      </c>
      <c r="L49" s="144">
        <f ca="1">'F12_Including POA'!$E$46/12</f>
        <v>2.611501641003831E-2</v>
      </c>
      <c r="M49" s="144">
        <f ca="1">'F12_Including POA'!$E$46/12</f>
        <v>2.611501641003831E-2</v>
      </c>
      <c r="N49" s="144">
        <f ca="1">'F12_Including POA'!$E$46/12</f>
        <v>2.611501641003831E-2</v>
      </c>
      <c r="O49" s="144">
        <f ca="1">'F12_Including POA'!$E$46/12</f>
        <v>2.611501641003831E-2</v>
      </c>
      <c r="P49" s="144">
        <f t="shared" ca="1" si="2"/>
        <v>0.31338019692045971</v>
      </c>
      <c r="W49" s="322"/>
      <c r="X49" s="322"/>
      <c r="Y49" s="322"/>
      <c r="Z49" s="322"/>
      <c r="AA49" s="322"/>
    </row>
    <row r="50" spans="2:27" s="9" customFormat="1">
      <c r="B50" s="145" t="s">
        <v>602</v>
      </c>
      <c r="C50" s="151" t="s">
        <v>603</v>
      </c>
      <c r="D50" s="144">
        <f ca="1">'F12_Including POA'!$E$47/12</f>
        <v>1.3291287372631149E-2</v>
      </c>
      <c r="E50" s="144">
        <f ca="1">'F12_Including POA'!$E$47/12</f>
        <v>1.3291287372631149E-2</v>
      </c>
      <c r="F50" s="144">
        <f ca="1">'F12_Including POA'!$E$47/12</f>
        <v>1.3291287372631149E-2</v>
      </c>
      <c r="G50" s="144">
        <f ca="1">'F12_Including POA'!$E$47/12</f>
        <v>1.3291287372631149E-2</v>
      </c>
      <c r="H50" s="144">
        <f ca="1">'F12_Including POA'!$E$47/12</f>
        <v>1.3291287372631149E-2</v>
      </c>
      <c r="I50" s="144">
        <f ca="1">'F12_Including POA'!$E$47/12</f>
        <v>1.3291287372631149E-2</v>
      </c>
      <c r="J50" s="144">
        <f ca="1">'F12_Including POA'!$E$47/12</f>
        <v>1.3291287372631149E-2</v>
      </c>
      <c r="K50" s="144">
        <f ca="1">'F12_Including POA'!$E$47/12</f>
        <v>1.3291287372631149E-2</v>
      </c>
      <c r="L50" s="144">
        <f ca="1">'F12_Including POA'!$E$47/12</f>
        <v>1.3291287372631149E-2</v>
      </c>
      <c r="M50" s="144">
        <f ca="1">'F12_Including POA'!$E$47/12</f>
        <v>1.3291287372631149E-2</v>
      </c>
      <c r="N50" s="144">
        <f ca="1">'F12_Including POA'!$E$47/12</f>
        <v>1.3291287372631149E-2</v>
      </c>
      <c r="O50" s="144">
        <f ca="1">'F12_Including POA'!$E$47/12</f>
        <v>1.3291287372631149E-2</v>
      </c>
      <c r="P50" s="144">
        <f t="shared" ca="1" si="2"/>
        <v>0.15949544847157382</v>
      </c>
      <c r="W50" s="322"/>
      <c r="X50" s="322"/>
      <c r="Y50" s="322"/>
      <c r="Z50" s="322"/>
      <c r="AA50" s="322"/>
    </row>
    <row r="51" spans="2:27" s="9" customFormat="1">
      <c r="B51" s="145" t="s">
        <v>604</v>
      </c>
      <c r="C51" s="151" t="s">
        <v>605</v>
      </c>
      <c r="D51" s="144">
        <f ca="1">'F12_Including POA'!$E$48/12</f>
        <v>1.4509082558399467E-2</v>
      </c>
      <c r="E51" s="144">
        <f ca="1">'F12_Including POA'!$E$48/12</f>
        <v>1.4509082558399467E-2</v>
      </c>
      <c r="F51" s="144">
        <f ca="1">'F12_Including POA'!$E$48/12</f>
        <v>1.4509082558399467E-2</v>
      </c>
      <c r="G51" s="144">
        <f ca="1">'F12_Including POA'!$E$48/12</f>
        <v>1.4509082558399467E-2</v>
      </c>
      <c r="H51" s="144">
        <f ca="1">'F12_Including POA'!$E$48/12</f>
        <v>1.4509082558399467E-2</v>
      </c>
      <c r="I51" s="144">
        <f ca="1">'F12_Including POA'!$E$48/12</f>
        <v>1.4509082558399467E-2</v>
      </c>
      <c r="J51" s="144">
        <f ca="1">'F12_Including POA'!$E$48/12</f>
        <v>1.4509082558399467E-2</v>
      </c>
      <c r="K51" s="144">
        <f ca="1">'F12_Including POA'!$E$48/12</f>
        <v>1.4509082558399467E-2</v>
      </c>
      <c r="L51" s="144">
        <f ca="1">'F12_Including POA'!$E$48/12</f>
        <v>1.4509082558399467E-2</v>
      </c>
      <c r="M51" s="144">
        <f ca="1">'F12_Including POA'!$E$48/12</f>
        <v>1.4509082558399467E-2</v>
      </c>
      <c r="N51" s="144">
        <f ca="1">'F12_Including POA'!$E$48/12</f>
        <v>1.4509082558399467E-2</v>
      </c>
      <c r="O51" s="144">
        <f ca="1">'F12_Including POA'!$E$48/12</f>
        <v>1.4509082558399467E-2</v>
      </c>
      <c r="P51" s="144">
        <f t="shared" ca="1" si="2"/>
        <v>0.17410899070079364</v>
      </c>
      <c r="W51" s="322"/>
      <c r="X51" s="322"/>
      <c r="Y51" s="322"/>
      <c r="Z51" s="322"/>
      <c r="AA51" s="322"/>
    </row>
    <row r="52" spans="2:27" s="9" customFormat="1">
      <c r="B52" s="145" t="s">
        <v>606</v>
      </c>
      <c r="C52" s="151" t="s">
        <v>607</v>
      </c>
      <c r="D52" s="144">
        <f ca="1">'F12_Including POA'!$E$49/12</f>
        <v>2.484608004061269E-2</v>
      </c>
      <c r="E52" s="144">
        <f ca="1">'F12_Including POA'!$E$49/12</f>
        <v>2.484608004061269E-2</v>
      </c>
      <c r="F52" s="144">
        <f ca="1">'F12_Including POA'!$E$49/12</f>
        <v>2.484608004061269E-2</v>
      </c>
      <c r="G52" s="144">
        <f ca="1">'F12_Including POA'!$E$49/12</f>
        <v>2.484608004061269E-2</v>
      </c>
      <c r="H52" s="144">
        <f ca="1">'F12_Including POA'!$E$49/12</f>
        <v>2.484608004061269E-2</v>
      </c>
      <c r="I52" s="144">
        <f ca="1">'F12_Including POA'!$E$49/12</f>
        <v>2.484608004061269E-2</v>
      </c>
      <c r="J52" s="144">
        <f ca="1">'F12_Including POA'!$E$49/12</f>
        <v>2.484608004061269E-2</v>
      </c>
      <c r="K52" s="144">
        <f ca="1">'F12_Including POA'!$E$49/12</f>
        <v>2.484608004061269E-2</v>
      </c>
      <c r="L52" s="144">
        <f ca="1">'F12_Including POA'!$E$49/12</f>
        <v>2.484608004061269E-2</v>
      </c>
      <c r="M52" s="144">
        <f ca="1">'F12_Including POA'!$E$49/12</f>
        <v>2.484608004061269E-2</v>
      </c>
      <c r="N52" s="144">
        <f ca="1">'F12_Including POA'!$E$49/12</f>
        <v>2.484608004061269E-2</v>
      </c>
      <c r="O52" s="144">
        <f ca="1">'F12_Including POA'!$E$49/12</f>
        <v>2.484608004061269E-2</v>
      </c>
      <c r="P52" s="144">
        <f t="shared" ca="1" si="2"/>
        <v>0.29815296048735229</v>
      </c>
      <c r="W52" s="322"/>
    </row>
    <row r="53" spans="2:27">
      <c r="B53" s="145" t="s">
        <v>608</v>
      </c>
      <c r="C53" s="151" t="s">
        <v>609</v>
      </c>
      <c r="D53" s="144">
        <f ca="1">'F12_Including POA'!$E$50/12</f>
        <v>3.9748558077440217E-2</v>
      </c>
      <c r="E53" s="144">
        <f ca="1">'F12_Including POA'!$E$50/12</f>
        <v>3.9748558077440217E-2</v>
      </c>
      <c r="F53" s="144">
        <f ca="1">'F12_Including POA'!$E$50/12</f>
        <v>3.9748558077440217E-2</v>
      </c>
      <c r="G53" s="144">
        <f ca="1">'F12_Including POA'!$E$50/12</f>
        <v>3.9748558077440217E-2</v>
      </c>
      <c r="H53" s="144">
        <f ca="1">'F12_Including POA'!$E$50/12</f>
        <v>3.9748558077440217E-2</v>
      </c>
      <c r="I53" s="144">
        <f ca="1">'F12_Including POA'!$E$50/12</f>
        <v>3.9748558077440217E-2</v>
      </c>
      <c r="J53" s="144">
        <f ca="1">'F12_Including POA'!$E$50/12</f>
        <v>3.9748558077440217E-2</v>
      </c>
      <c r="K53" s="144">
        <f ca="1">'F12_Including POA'!$E$50/12</f>
        <v>3.9748558077440217E-2</v>
      </c>
      <c r="L53" s="144">
        <f ca="1">'F12_Including POA'!$E$50/12</f>
        <v>3.9748558077440217E-2</v>
      </c>
      <c r="M53" s="144">
        <f ca="1">'F12_Including POA'!$E$50/12</f>
        <v>3.9748558077440217E-2</v>
      </c>
      <c r="N53" s="144">
        <f ca="1">'F12_Including POA'!$E$50/12</f>
        <v>3.9748558077440217E-2</v>
      </c>
      <c r="O53" s="144">
        <f ca="1">'F12_Including POA'!$E$50/12</f>
        <v>3.9748558077440217E-2</v>
      </c>
      <c r="P53" s="144">
        <f t="shared" ca="1" si="2"/>
        <v>0.47698269692928258</v>
      </c>
      <c r="W53" s="322"/>
    </row>
    <row r="54" spans="2:27">
      <c r="B54" s="145" t="s">
        <v>610</v>
      </c>
      <c r="C54" s="151" t="s">
        <v>611</v>
      </c>
      <c r="D54" s="144">
        <f ca="1">'F12_Including POA'!$E$51/12</f>
        <v>2.1939784283348612E-2</v>
      </c>
      <c r="E54" s="144">
        <f ca="1">'F12_Including POA'!$E$51/12</f>
        <v>2.1939784283348612E-2</v>
      </c>
      <c r="F54" s="144">
        <f ca="1">'F12_Including POA'!$E$51/12</f>
        <v>2.1939784283348612E-2</v>
      </c>
      <c r="G54" s="144">
        <f ca="1">'F12_Including POA'!$E$51/12</f>
        <v>2.1939784283348612E-2</v>
      </c>
      <c r="H54" s="144">
        <f ca="1">'F12_Including POA'!$E$51/12</f>
        <v>2.1939784283348612E-2</v>
      </c>
      <c r="I54" s="144">
        <f ca="1">'F12_Including POA'!$E$51/12</f>
        <v>2.1939784283348612E-2</v>
      </c>
      <c r="J54" s="144">
        <f ca="1">'F12_Including POA'!$E$51/12</f>
        <v>2.1939784283348612E-2</v>
      </c>
      <c r="K54" s="144">
        <f ca="1">'F12_Including POA'!$E$51/12</f>
        <v>2.1939784283348612E-2</v>
      </c>
      <c r="L54" s="144">
        <f ca="1">'F12_Including POA'!$E$51/12</f>
        <v>2.1939784283348612E-2</v>
      </c>
      <c r="M54" s="144">
        <f ca="1">'F12_Including POA'!$E$51/12</f>
        <v>2.1939784283348612E-2</v>
      </c>
      <c r="N54" s="144">
        <f ca="1">'F12_Including POA'!$E$51/12</f>
        <v>2.1939784283348612E-2</v>
      </c>
      <c r="O54" s="144">
        <f ca="1">'F12_Including POA'!$E$51/12</f>
        <v>2.1939784283348612E-2</v>
      </c>
      <c r="P54" s="144">
        <f t="shared" ca="1" si="2"/>
        <v>0.26327741140018335</v>
      </c>
    </row>
    <row r="55" spans="2:27">
      <c r="B55" s="145" t="s">
        <v>612</v>
      </c>
      <c r="C55" s="151" t="s">
        <v>613</v>
      </c>
      <c r="D55" s="144">
        <f ca="1">'F12_Including POA'!$E$52/12</f>
        <v>1.4716265280768361E-2</v>
      </c>
      <c r="E55" s="144">
        <f ca="1">'F12_Including POA'!$E$52/12</f>
        <v>1.4716265280768361E-2</v>
      </c>
      <c r="F55" s="144">
        <f ca="1">'F12_Including POA'!$E$52/12</f>
        <v>1.4716265280768361E-2</v>
      </c>
      <c r="G55" s="144">
        <f ca="1">'F12_Including POA'!$E$52/12</f>
        <v>1.4716265280768361E-2</v>
      </c>
      <c r="H55" s="144">
        <f ca="1">'F12_Including POA'!$E$52/12</f>
        <v>1.4716265280768361E-2</v>
      </c>
      <c r="I55" s="144">
        <f ca="1">'F12_Including POA'!$E$52/12</f>
        <v>1.4716265280768361E-2</v>
      </c>
      <c r="J55" s="144">
        <f ca="1">'F12_Including POA'!$E$52/12</f>
        <v>1.4716265280768361E-2</v>
      </c>
      <c r="K55" s="144">
        <f ca="1">'F12_Including POA'!$E$52/12</f>
        <v>1.4716265280768361E-2</v>
      </c>
      <c r="L55" s="144">
        <f ca="1">'F12_Including POA'!$E$52/12</f>
        <v>1.4716265280768361E-2</v>
      </c>
      <c r="M55" s="144">
        <f ca="1">'F12_Including POA'!$E$52/12</f>
        <v>1.4716265280768361E-2</v>
      </c>
      <c r="N55" s="144">
        <f ca="1">'F12_Including POA'!$E$52/12</f>
        <v>1.4716265280768361E-2</v>
      </c>
      <c r="O55" s="144">
        <f ca="1">'F12_Including POA'!$E$52/12</f>
        <v>1.4716265280768361E-2</v>
      </c>
      <c r="P55" s="144">
        <f t="shared" ca="1" si="2"/>
        <v>0.17659518336922034</v>
      </c>
    </row>
    <row r="56" spans="2:27">
      <c r="B56" s="145" t="s">
        <v>614</v>
      </c>
      <c r="C56" s="151" t="s">
        <v>615</v>
      </c>
      <c r="D56" s="144">
        <f ca="1">'F12_Including POA'!$E$53/12</f>
        <v>4.6177352925281662E-3</v>
      </c>
      <c r="E56" s="144">
        <f ca="1">'F12_Including POA'!$E$53/12</f>
        <v>4.6177352925281662E-3</v>
      </c>
      <c r="F56" s="144">
        <f ca="1">'F12_Including POA'!$E$53/12</f>
        <v>4.6177352925281662E-3</v>
      </c>
      <c r="G56" s="144">
        <f ca="1">'F12_Including POA'!$E$53/12</f>
        <v>4.6177352925281662E-3</v>
      </c>
      <c r="H56" s="144">
        <f ca="1">'F12_Including POA'!$E$53/12</f>
        <v>4.6177352925281662E-3</v>
      </c>
      <c r="I56" s="144">
        <f ca="1">'F12_Including POA'!$E$53/12</f>
        <v>4.6177352925281662E-3</v>
      </c>
      <c r="J56" s="144">
        <f ca="1">'F12_Including POA'!$E$53/12</f>
        <v>4.6177352925281662E-3</v>
      </c>
      <c r="K56" s="144">
        <f ca="1">'F12_Including POA'!$E$53/12</f>
        <v>4.6177352925281662E-3</v>
      </c>
      <c r="L56" s="144">
        <f ca="1">'F12_Including POA'!$E$53/12</f>
        <v>4.6177352925281662E-3</v>
      </c>
      <c r="M56" s="144">
        <f ca="1">'F12_Including POA'!$E$53/12</f>
        <v>4.6177352925281662E-3</v>
      </c>
      <c r="N56" s="144">
        <f ca="1">'F12_Including POA'!$E$53/12</f>
        <v>4.6177352925281662E-3</v>
      </c>
      <c r="O56" s="144">
        <f ca="1">'F12_Including POA'!$E$53/12</f>
        <v>4.6177352925281662E-3</v>
      </c>
      <c r="P56" s="144">
        <f t="shared" ca="1" si="2"/>
        <v>5.5412823510337994E-2</v>
      </c>
    </row>
    <row r="57" spans="2:27">
      <c r="B57" s="145" t="s">
        <v>616</v>
      </c>
      <c r="C57" s="151" t="s">
        <v>617</v>
      </c>
      <c r="D57" s="144">
        <f ca="1">'F12_Including POA'!$E$54/12</f>
        <v>1.6691413534521292E-3</v>
      </c>
      <c r="E57" s="144">
        <f ca="1">'F12_Including POA'!$E$54/12</f>
        <v>1.6691413534521292E-3</v>
      </c>
      <c r="F57" s="144">
        <f ca="1">'F12_Including POA'!$E$54/12</f>
        <v>1.6691413534521292E-3</v>
      </c>
      <c r="G57" s="144">
        <f ca="1">'F12_Including POA'!$E$54/12</f>
        <v>1.6691413534521292E-3</v>
      </c>
      <c r="H57" s="144">
        <f ca="1">'F12_Including POA'!$E$54/12</f>
        <v>1.6691413534521292E-3</v>
      </c>
      <c r="I57" s="144">
        <f ca="1">'F12_Including POA'!$E$54/12</f>
        <v>1.6691413534521292E-3</v>
      </c>
      <c r="J57" s="144">
        <f ca="1">'F12_Including POA'!$E$54/12</f>
        <v>1.6691413534521292E-3</v>
      </c>
      <c r="K57" s="144">
        <f ca="1">'F12_Including POA'!$E$54/12</f>
        <v>1.6691413534521292E-3</v>
      </c>
      <c r="L57" s="144">
        <f ca="1">'F12_Including POA'!$E$54/12</f>
        <v>1.6691413534521292E-3</v>
      </c>
      <c r="M57" s="144">
        <f ca="1">'F12_Including POA'!$E$54/12</f>
        <v>1.6691413534521292E-3</v>
      </c>
      <c r="N57" s="144">
        <f ca="1">'F12_Including POA'!$E$54/12</f>
        <v>1.6691413534521292E-3</v>
      </c>
      <c r="O57" s="144">
        <f ca="1">'F12_Including POA'!$E$54/12</f>
        <v>1.6691413534521292E-3</v>
      </c>
      <c r="P57" s="144">
        <f t="shared" ca="1" si="2"/>
        <v>2.0029696241425546E-2</v>
      </c>
    </row>
    <row r="58" spans="2:27">
      <c r="B58" s="145" t="s">
        <v>618</v>
      </c>
      <c r="C58" s="151" t="s">
        <v>619</v>
      </c>
      <c r="D58" s="144">
        <f ca="1">'F12_Including POA'!$E$55/12</f>
        <v>7.8552850368066099E-2</v>
      </c>
      <c r="E58" s="144">
        <f ca="1">'F12_Including POA'!$E$55/12</f>
        <v>7.8552850368066099E-2</v>
      </c>
      <c r="F58" s="144">
        <f ca="1">'F12_Including POA'!$E$55/12</f>
        <v>7.8552850368066099E-2</v>
      </c>
      <c r="G58" s="144">
        <f ca="1">'F12_Including POA'!$E$55/12</f>
        <v>7.8552850368066099E-2</v>
      </c>
      <c r="H58" s="144">
        <f ca="1">'F12_Including POA'!$E$55/12</f>
        <v>7.8552850368066099E-2</v>
      </c>
      <c r="I58" s="144">
        <f ca="1">'F12_Including POA'!$E$55/12</f>
        <v>7.8552850368066099E-2</v>
      </c>
      <c r="J58" s="144">
        <f ca="1">'F12_Including POA'!$E$55/12</f>
        <v>7.8552850368066099E-2</v>
      </c>
      <c r="K58" s="144">
        <f ca="1">'F12_Including POA'!$E$55/12</f>
        <v>7.8552850368066099E-2</v>
      </c>
      <c r="L58" s="144">
        <f ca="1">'F12_Including POA'!$E$55/12</f>
        <v>7.8552850368066099E-2</v>
      </c>
      <c r="M58" s="144">
        <f ca="1">'F12_Including POA'!$E$55/12</f>
        <v>7.8552850368066099E-2</v>
      </c>
      <c r="N58" s="144">
        <f ca="1">'F12_Including POA'!$E$55/12</f>
        <v>7.8552850368066099E-2</v>
      </c>
      <c r="O58" s="144">
        <f ca="1">'F12_Including POA'!$E$55/12</f>
        <v>7.8552850368066099E-2</v>
      </c>
      <c r="P58" s="144">
        <f t="shared" ca="1" si="2"/>
        <v>0.94263420441679335</v>
      </c>
    </row>
    <row r="59" spans="2:27">
      <c r="B59" s="145"/>
      <c r="C59" s="151" t="s">
        <v>620</v>
      </c>
      <c r="D59" s="144">
        <f ca="1">'F12_Including POA'!$E$56/12</f>
        <v>4.1060985491052401E-2</v>
      </c>
      <c r="E59" s="144">
        <f ca="1">'F12_Including POA'!$E$56/12</f>
        <v>4.1060985491052401E-2</v>
      </c>
      <c r="F59" s="144">
        <f ca="1">'F12_Including POA'!$E$56/12</f>
        <v>4.1060985491052401E-2</v>
      </c>
      <c r="G59" s="144">
        <f ca="1">'F12_Including POA'!$E$56/12</f>
        <v>4.1060985491052401E-2</v>
      </c>
      <c r="H59" s="144">
        <f ca="1">'F12_Including POA'!$E$56/12</f>
        <v>4.1060985491052401E-2</v>
      </c>
      <c r="I59" s="144">
        <f ca="1">'F12_Including POA'!$E$56/12</f>
        <v>4.1060985491052401E-2</v>
      </c>
      <c r="J59" s="144">
        <f ca="1">'F12_Including POA'!$E$56/12</f>
        <v>4.1060985491052401E-2</v>
      </c>
      <c r="K59" s="144">
        <f ca="1">'F12_Including POA'!$E$56/12</f>
        <v>4.1060985491052401E-2</v>
      </c>
      <c r="L59" s="144">
        <f ca="1">'F12_Including POA'!$E$56/12</f>
        <v>4.1060985491052401E-2</v>
      </c>
      <c r="M59" s="144">
        <f ca="1">'F12_Including POA'!$E$56/12</f>
        <v>4.1060985491052401E-2</v>
      </c>
      <c r="N59" s="144">
        <f ca="1">'F12_Including POA'!$E$56/12</f>
        <v>4.1060985491052401E-2</v>
      </c>
      <c r="O59" s="144">
        <f ca="1">'F12_Including POA'!$E$56/12</f>
        <v>4.1060985491052401E-2</v>
      </c>
      <c r="P59" s="144">
        <f t="shared" ca="1" si="2"/>
        <v>0.49273182589262893</v>
      </c>
    </row>
    <row r="60" spans="2:27">
      <c r="B60" s="145"/>
      <c r="C60" s="151" t="s">
        <v>621</v>
      </c>
      <c r="D60" s="144">
        <f ca="1">'F12_Including POA'!$E$57/12</f>
        <v>2.8753164035235198E-2</v>
      </c>
      <c r="E60" s="144">
        <f ca="1">'F12_Including POA'!$E$57/12</f>
        <v>2.8753164035235198E-2</v>
      </c>
      <c r="F60" s="144">
        <f ca="1">'F12_Including POA'!$E$57/12</f>
        <v>2.8753164035235198E-2</v>
      </c>
      <c r="G60" s="144">
        <f ca="1">'F12_Including POA'!$E$57/12</f>
        <v>2.8753164035235198E-2</v>
      </c>
      <c r="H60" s="144">
        <f ca="1">'F12_Including POA'!$E$57/12</f>
        <v>2.8753164035235198E-2</v>
      </c>
      <c r="I60" s="144">
        <f ca="1">'F12_Including POA'!$E$57/12</f>
        <v>2.8753164035235198E-2</v>
      </c>
      <c r="J60" s="144">
        <f ca="1">'F12_Including POA'!$E$57/12</f>
        <v>2.8753164035235198E-2</v>
      </c>
      <c r="K60" s="144">
        <f ca="1">'F12_Including POA'!$E$57/12</f>
        <v>2.8753164035235198E-2</v>
      </c>
      <c r="L60" s="144">
        <f ca="1">'F12_Including POA'!$E$57/12</f>
        <v>2.8753164035235198E-2</v>
      </c>
      <c r="M60" s="144">
        <f ca="1">'F12_Including POA'!$E$57/12</f>
        <v>2.8753164035235198E-2</v>
      </c>
      <c r="N60" s="144">
        <f ca="1">'F12_Including POA'!$E$57/12</f>
        <v>2.8753164035235198E-2</v>
      </c>
      <c r="O60" s="144">
        <f ca="1">'F12_Including POA'!$E$57/12</f>
        <v>2.8753164035235198E-2</v>
      </c>
      <c r="P60" s="144">
        <f t="shared" ca="1" si="2"/>
        <v>0.34503796842282236</v>
      </c>
    </row>
    <row r="61" spans="2:27">
      <c r="B61" s="145"/>
      <c r="C61" s="151" t="s">
        <v>622</v>
      </c>
      <c r="D61" s="144">
        <f ca="1">'F12_Including POA'!$E$58/12</f>
        <v>5.4140835673112335E-2</v>
      </c>
      <c r="E61" s="144">
        <f ca="1">'F12_Including POA'!$E$58/12</f>
        <v>5.4140835673112335E-2</v>
      </c>
      <c r="F61" s="144">
        <f ca="1">'F12_Including POA'!$E$58/12</f>
        <v>5.4140835673112335E-2</v>
      </c>
      <c r="G61" s="144">
        <f ca="1">'F12_Including POA'!$E$58/12</f>
        <v>5.4140835673112335E-2</v>
      </c>
      <c r="H61" s="144">
        <f ca="1">'F12_Including POA'!$E$58/12</f>
        <v>5.4140835673112335E-2</v>
      </c>
      <c r="I61" s="144">
        <f ca="1">'F12_Including POA'!$E$58/12</f>
        <v>5.4140835673112335E-2</v>
      </c>
      <c r="J61" s="144">
        <f ca="1">'F12_Including POA'!$E$58/12</f>
        <v>5.4140835673112335E-2</v>
      </c>
      <c r="K61" s="144">
        <f ca="1">'F12_Including POA'!$E$58/12</f>
        <v>5.4140835673112335E-2</v>
      </c>
      <c r="L61" s="144">
        <f ca="1">'F12_Including POA'!$E$58/12</f>
        <v>5.4140835673112335E-2</v>
      </c>
      <c r="M61" s="144">
        <f ca="1">'F12_Including POA'!$E$58/12</f>
        <v>5.4140835673112335E-2</v>
      </c>
      <c r="N61" s="144">
        <f ca="1">'F12_Including POA'!$E$58/12</f>
        <v>5.4140835673112335E-2</v>
      </c>
      <c r="O61" s="144">
        <f ca="1">'F12_Including POA'!$E$58/12</f>
        <v>5.4140835673112335E-2</v>
      </c>
      <c r="P61" s="144">
        <f t="shared" ca="1" si="2"/>
        <v>0.64969002807734799</v>
      </c>
    </row>
    <row r="62" spans="2:27">
      <c r="B62" s="145"/>
      <c r="C62" s="146"/>
      <c r="D62" s="144">
        <f ca="1">'F12_Including POA'!$E$59/12</f>
        <v>5.4140835673112335E-2</v>
      </c>
      <c r="E62" s="144">
        <f ca="1">'F12_Including POA'!$E$59/12</f>
        <v>5.4140835673112335E-2</v>
      </c>
      <c r="F62" s="144">
        <f ca="1">'F12_Including POA'!$E$59/12</f>
        <v>5.4140835673112335E-2</v>
      </c>
      <c r="G62" s="144">
        <f ca="1">'F12_Including POA'!$E$59/12</f>
        <v>5.4140835673112335E-2</v>
      </c>
      <c r="H62" s="144">
        <f ca="1">'F12_Including POA'!$E$59/12</f>
        <v>5.4140835673112335E-2</v>
      </c>
      <c r="I62" s="144">
        <f ca="1">'F12_Including POA'!$E$59/12</f>
        <v>5.4140835673112335E-2</v>
      </c>
      <c r="J62" s="144">
        <f ca="1">'F12_Including POA'!$E$59/12</f>
        <v>5.4140835673112335E-2</v>
      </c>
      <c r="K62" s="144">
        <f ca="1">'F12_Including POA'!$E$59/12</f>
        <v>5.4140835673112335E-2</v>
      </c>
      <c r="L62" s="144">
        <f ca="1">'F12_Including POA'!$E$59/12</f>
        <v>5.4140835673112335E-2</v>
      </c>
      <c r="M62" s="144">
        <f ca="1">'F12_Including POA'!$E$59/12</f>
        <v>5.4140835673112335E-2</v>
      </c>
      <c r="N62" s="144">
        <f ca="1">'F12_Including POA'!$E$59/12</f>
        <v>5.4140835673112335E-2</v>
      </c>
      <c r="O62" s="144">
        <f ca="1">'F12_Including POA'!$E$59/12</f>
        <v>5.4140835673112335E-2</v>
      </c>
      <c r="P62" s="144">
        <f t="shared" ca="1" si="2"/>
        <v>0.64969002807734799</v>
      </c>
    </row>
    <row r="63" spans="2:27">
      <c r="B63" s="142">
        <v>2</v>
      </c>
      <c r="C63" s="143" t="s">
        <v>623</v>
      </c>
      <c r="D63" s="144"/>
      <c r="E63" s="144"/>
      <c r="F63" s="144"/>
      <c r="G63" s="144"/>
      <c r="H63" s="144"/>
      <c r="I63" s="144"/>
      <c r="J63" s="144"/>
      <c r="K63" s="144"/>
      <c r="L63" s="144"/>
      <c r="M63" s="144"/>
      <c r="N63" s="144"/>
      <c r="O63" s="144"/>
      <c r="P63" s="144"/>
    </row>
    <row r="64" spans="2:27">
      <c r="B64" s="145">
        <v>2.1</v>
      </c>
      <c r="C64" s="146" t="s">
        <v>627</v>
      </c>
      <c r="D64" s="144"/>
      <c r="E64" s="144"/>
      <c r="F64" s="144"/>
      <c r="G64" s="144"/>
      <c r="H64" s="144"/>
      <c r="I64" s="144"/>
      <c r="J64" s="144"/>
      <c r="K64" s="144"/>
      <c r="L64" s="144"/>
      <c r="M64" s="144"/>
      <c r="N64" s="144"/>
      <c r="O64" s="144"/>
      <c r="P64" s="144"/>
    </row>
    <row r="65" spans="2:16">
      <c r="B65" s="145">
        <v>2.2000000000000002</v>
      </c>
      <c r="C65" s="146" t="s">
        <v>628</v>
      </c>
      <c r="D65" s="144"/>
      <c r="E65" s="144"/>
      <c r="F65" s="144"/>
      <c r="G65" s="144"/>
      <c r="H65" s="144"/>
      <c r="I65" s="144"/>
      <c r="J65" s="144"/>
      <c r="K65" s="144"/>
      <c r="L65" s="144"/>
      <c r="M65" s="144"/>
      <c r="N65" s="144"/>
      <c r="O65" s="144"/>
      <c r="P65" s="144"/>
    </row>
    <row r="66" spans="2:16">
      <c r="B66" s="142"/>
      <c r="C66" s="146" t="s">
        <v>629</v>
      </c>
      <c r="D66" s="144"/>
      <c r="E66" s="144"/>
      <c r="F66" s="144"/>
      <c r="G66" s="144"/>
      <c r="H66" s="144"/>
      <c r="I66" s="144"/>
      <c r="J66" s="144"/>
      <c r="K66" s="144"/>
      <c r="L66" s="144"/>
      <c r="M66" s="144"/>
      <c r="N66" s="144"/>
      <c r="O66" s="144"/>
      <c r="P66" s="144"/>
    </row>
    <row r="67" spans="2:16">
      <c r="B67" s="142">
        <v>3</v>
      </c>
      <c r="C67" s="143" t="s">
        <v>624</v>
      </c>
      <c r="D67" s="144">
        <v>0</v>
      </c>
      <c r="E67" s="144">
        <v>0</v>
      </c>
      <c r="F67" s="144">
        <v>0</v>
      </c>
      <c r="G67" s="144">
        <v>0</v>
      </c>
      <c r="H67" s="144">
        <v>0</v>
      </c>
      <c r="I67" s="144">
        <v>0</v>
      </c>
      <c r="J67" s="144">
        <v>0</v>
      </c>
      <c r="K67" s="144">
        <v>0</v>
      </c>
      <c r="L67" s="144">
        <v>0</v>
      </c>
      <c r="M67" s="144">
        <v>0</v>
      </c>
      <c r="N67" s="144">
        <v>0</v>
      </c>
      <c r="O67" s="144">
        <v>0</v>
      </c>
      <c r="P67" s="144">
        <f t="shared" si="2"/>
        <v>0</v>
      </c>
    </row>
    <row r="68" spans="2:16">
      <c r="B68" s="147">
        <v>4</v>
      </c>
      <c r="C68" s="148" t="s">
        <v>625</v>
      </c>
      <c r="D68" s="324">
        <f t="shared" ref="D68:O68" ca="1" si="3">SUM(D44:D67)</f>
        <v>76.565232106571671</v>
      </c>
      <c r="E68" s="324">
        <f t="shared" ca="1" si="3"/>
        <v>76.565232106571671</v>
      </c>
      <c r="F68" s="324">
        <f t="shared" ca="1" si="3"/>
        <v>76.565232106571671</v>
      </c>
      <c r="G68" s="324">
        <f t="shared" ca="1" si="3"/>
        <v>76.565232106571671</v>
      </c>
      <c r="H68" s="324">
        <f t="shared" ca="1" si="3"/>
        <v>76.565232106571671</v>
      </c>
      <c r="I68" s="324">
        <f t="shared" ca="1" si="3"/>
        <v>76.565232106571671</v>
      </c>
      <c r="J68" s="324">
        <f t="shared" ca="1" si="3"/>
        <v>76.565232106571671</v>
      </c>
      <c r="K68" s="324">
        <f t="shared" ca="1" si="3"/>
        <v>76.565232106571671</v>
      </c>
      <c r="L68" s="324">
        <f t="shared" ca="1" si="3"/>
        <v>76.565232106571671</v>
      </c>
      <c r="M68" s="324">
        <f t="shared" ca="1" si="3"/>
        <v>76.565232106571671</v>
      </c>
      <c r="N68" s="324">
        <f t="shared" ca="1" si="3"/>
        <v>76.565232106571671</v>
      </c>
      <c r="O68" s="324">
        <f t="shared" ca="1" si="3"/>
        <v>76.565232106571671</v>
      </c>
      <c r="P68" s="324">
        <f t="shared" ca="1" si="2"/>
        <v>918.78278527886005</v>
      </c>
    </row>
    <row r="71" spans="2:16">
      <c r="B71" s="8" t="s">
        <v>630</v>
      </c>
      <c r="C71" s="7"/>
      <c r="G71" s="7"/>
      <c r="I71" s="8"/>
      <c r="L71" s="8"/>
    </row>
    <row r="72" spans="2:16">
      <c r="C72" s="7"/>
      <c r="G72" s="7"/>
      <c r="I72" s="8"/>
      <c r="L72" s="8"/>
      <c r="P72" s="8" t="s">
        <v>52</v>
      </c>
    </row>
    <row r="73" spans="2:16" s="8" customFormat="1">
      <c r="B73" s="140" t="s">
        <v>576</v>
      </c>
      <c r="C73" s="140" t="s">
        <v>53</v>
      </c>
      <c r="D73" s="141" t="s">
        <v>577</v>
      </c>
      <c r="E73" s="141" t="s">
        <v>578</v>
      </c>
      <c r="F73" s="141" t="s">
        <v>579</v>
      </c>
      <c r="G73" s="141" t="s">
        <v>580</v>
      </c>
      <c r="H73" s="141" t="s">
        <v>581</v>
      </c>
      <c r="I73" s="141" t="s">
        <v>582</v>
      </c>
      <c r="J73" s="141" t="s">
        <v>583</v>
      </c>
      <c r="K73" s="141" t="s">
        <v>584</v>
      </c>
      <c r="L73" s="141" t="s">
        <v>585</v>
      </c>
      <c r="M73" s="141" t="s">
        <v>586</v>
      </c>
      <c r="N73" s="141" t="s">
        <v>587</v>
      </c>
      <c r="O73" s="141" t="s">
        <v>588</v>
      </c>
      <c r="P73" s="141" t="s">
        <v>219</v>
      </c>
    </row>
    <row r="74" spans="2:16">
      <c r="B74" s="142">
        <v>1</v>
      </c>
      <c r="C74" s="143" t="s">
        <v>589</v>
      </c>
    </row>
    <row r="75" spans="2:16">
      <c r="B75" s="145" t="s">
        <v>590</v>
      </c>
      <c r="C75" s="151" t="s">
        <v>591</v>
      </c>
      <c r="D75" s="144">
        <f ca="1">'F12_Including POA'!$F$41/12</f>
        <v>66.071945396909527</v>
      </c>
      <c r="E75" s="144">
        <f ca="1">'F12_Including POA'!$F$41/12</f>
        <v>66.071945396909527</v>
      </c>
      <c r="F75" s="144">
        <f ca="1">'F12_Including POA'!$F$41/12</f>
        <v>66.071945396909527</v>
      </c>
      <c r="G75" s="144">
        <f ca="1">'F12_Including POA'!$F$41/12</f>
        <v>66.071945396909527</v>
      </c>
      <c r="H75" s="144">
        <f ca="1">'F12_Including POA'!$F$41/12</f>
        <v>66.071945396909527</v>
      </c>
      <c r="I75" s="144">
        <f ca="1">'F12_Including POA'!$F$41/12</f>
        <v>66.071945396909527</v>
      </c>
      <c r="J75" s="144">
        <f ca="1">'F12_Including POA'!$F$41/12</f>
        <v>66.071945396909527</v>
      </c>
      <c r="K75" s="144">
        <f ca="1">'F12_Including POA'!$F$41/12</f>
        <v>66.071945396909527</v>
      </c>
      <c r="L75" s="144">
        <f ca="1">'F12_Including POA'!$F$41/12</f>
        <v>66.071945396909527</v>
      </c>
      <c r="M75" s="144">
        <f ca="1">'F12_Including POA'!$F$41/12</f>
        <v>66.071945396909527</v>
      </c>
      <c r="N75" s="144">
        <f ca="1">'F12_Including POA'!$F$41/12</f>
        <v>66.071945396909527</v>
      </c>
      <c r="O75" s="144">
        <f ca="1">'F12_Including POA'!$F$41/12</f>
        <v>66.071945396909527</v>
      </c>
      <c r="P75" s="144">
        <f t="shared" ref="P75:P99" ca="1" si="4">SUM(D75:O75)</f>
        <v>792.86334476291438</v>
      </c>
    </row>
    <row r="76" spans="2:16">
      <c r="B76" s="145" t="s">
        <v>592</v>
      </c>
      <c r="C76" s="151" t="s">
        <v>593</v>
      </c>
      <c r="D76" s="144">
        <f ca="1">'F12_Including POA'!$F$42/12</f>
        <v>2.6859005128151381</v>
      </c>
      <c r="E76" s="144">
        <f ca="1">'F12_Including POA'!$F$42/12</f>
        <v>2.6859005128151381</v>
      </c>
      <c r="F76" s="144">
        <f ca="1">'F12_Including POA'!$F$42/12</f>
        <v>2.6859005128151381</v>
      </c>
      <c r="G76" s="144">
        <f ca="1">'F12_Including POA'!$F$42/12</f>
        <v>2.6859005128151381</v>
      </c>
      <c r="H76" s="144">
        <f ca="1">'F12_Including POA'!$F$42/12</f>
        <v>2.6859005128151381</v>
      </c>
      <c r="I76" s="144">
        <f ca="1">'F12_Including POA'!$F$42/12</f>
        <v>2.6859005128151381</v>
      </c>
      <c r="J76" s="144">
        <f ca="1">'F12_Including POA'!$F$42/12</f>
        <v>2.6859005128151381</v>
      </c>
      <c r="K76" s="144">
        <f ca="1">'F12_Including POA'!$F$42/12</f>
        <v>2.6859005128151381</v>
      </c>
      <c r="L76" s="144">
        <f ca="1">'F12_Including POA'!$F$42/12</f>
        <v>2.6859005128151381</v>
      </c>
      <c r="M76" s="144">
        <f ca="1">'F12_Including POA'!$F$42/12</f>
        <v>2.6859005128151381</v>
      </c>
      <c r="N76" s="144">
        <f ca="1">'F12_Including POA'!$F$42/12</f>
        <v>2.6859005128151381</v>
      </c>
      <c r="O76" s="144">
        <f ca="1">'F12_Including POA'!$F$42/12</f>
        <v>2.6859005128151381</v>
      </c>
      <c r="P76" s="144">
        <f t="shared" ca="1" si="4"/>
        <v>32.230806153781657</v>
      </c>
    </row>
    <row r="77" spans="2:16">
      <c r="B77" s="145" t="s">
        <v>594</v>
      </c>
      <c r="C77" s="151" t="s">
        <v>595</v>
      </c>
      <c r="D77" s="144">
        <f ca="1">'F12_Including POA'!$F$43/12</f>
        <v>4.7013321743411973</v>
      </c>
      <c r="E77" s="144">
        <f ca="1">'F12_Including POA'!$F$43/12</f>
        <v>4.7013321743411973</v>
      </c>
      <c r="F77" s="144">
        <f ca="1">'F12_Including POA'!$F$43/12</f>
        <v>4.7013321743411973</v>
      </c>
      <c r="G77" s="144">
        <f ca="1">'F12_Including POA'!$F$43/12</f>
        <v>4.7013321743411973</v>
      </c>
      <c r="H77" s="144">
        <f ca="1">'F12_Including POA'!$F$43/12</f>
        <v>4.7013321743411973</v>
      </c>
      <c r="I77" s="144">
        <f ca="1">'F12_Including POA'!$F$43/12</f>
        <v>4.7013321743411973</v>
      </c>
      <c r="J77" s="144">
        <f ca="1">'F12_Including POA'!$F$43/12</f>
        <v>4.7013321743411973</v>
      </c>
      <c r="K77" s="144">
        <f ca="1">'F12_Including POA'!$F$43/12</f>
        <v>4.7013321743411973</v>
      </c>
      <c r="L77" s="144">
        <f ca="1">'F12_Including POA'!$F$43/12</f>
        <v>4.7013321743411973</v>
      </c>
      <c r="M77" s="144">
        <f ca="1">'F12_Including POA'!$F$43/12</f>
        <v>4.7013321743411973</v>
      </c>
      <c r="N77" s="144">
        <f ca="1">'F12_Including POA'!$F$43/12</f>
        <v>4.7013321743411973</v>
      </c>
      <c r="O77" s="144">
        <f ca="1">'F12_Including POA'!$F$43/12</f>
        <v>4.7013321743411973</v>
      </c>
      <c r="P77" s="144">
        <f t="shared" ca="1" si="4"/>
        <v>56.415986092094364</v>
      </c>
    </row>
    <row r="78" spans="2:16">
      <c r="B78" s="145" t="s">
        <v>596</v>
      </c>
      <c r="C78" s="151" t="s">
        <v>597</v>
      </c>
      <c r="D78" s="144">
        <f ca="1">'F12_Including POA'!$F$44/12</f>
        <v>2.1325891353703677</v>
      </c>
      <c r="E78" s="144">
        <f ca="1">'F12_Including POA'!$F$44/12</f>
        <v>2.1325891353703677</v>
      </c>
      <c r="F78" s="144">
        <f ca="1">'F12_Including POA'!$F$44/12</f>
        <v>2.1325891353703677</v>
      </c>
      <c r="G78" s="144">
        <f ca="1">'F12_Including POA'!$F$44/12</f>
        <v>2.1325891353703677</v>
      </c>
      <c r="H78" s="144">
        <f ca="1">'F12_Including POA'!$F$44/12</f>
        <v>2.1325891353703677</v>
      </c>
      <c r="I78" s="144">
        <f ca="1">'F12_Including POA'!$F$44/12</f>
        <v>2.1325891353703677</v>
      </c>
      <c r="J78" s="144">
        <f ca="1">'F12_Including POA'!$F$44/12</f>
        <v>2.1325891353703677</v>
      </c>
      <c r="K78" s="144">
        <f ca="1">'F12_Including POA'!$F$44/12</f>
        <v>2.1325891353703677</v>
      </c>
      <c r="L78" s="144">
        <f ca="1">'F12_Including POA'!$F$44/12</f>
        <v>2.1325891353703677</v>
      </c>
      <c r="M78" s="144">
        <f ca="1">'F12_Including POA'!$F$44/12</f>
        <v>2.1325891353703677</v>
      </c>
      <c r="N78" s="144">
        <f ca="1">'F12_Including POA'!$F$44/12</f>
        <v>2.1325891353703677</v>
      </c>
      <c r="O78" s="144">
        <f ca="1">'F12_Including POA'!$F$44/12</f>
        <v>2.1325891353703677</v>
      </c>
      <c r="P78" s="144">
        <f t="shared" ca="1" si="4"/>
        <v>25.591069624444405</v>
      </c>
    </row>
    <row r="79" spans="2:16">
      <c r="B79" s="145" t="s">
        <v>598</v>
      </c>
      <c r="C79" s="151" t="s">
        <v>599</v>
      </c>
      <c r="D79" s="144">
        <f ca="1">'F12_Including POA'!$F$45/12</f>
        <v>1.4568222787914651</v>
      </c>
      <c r="E79" s="144">
        <f ca="1">'F12_Including POA'!$F$45/12</f>
        <v>1.4568222787914651</v>
      </c>
      <c r="F79" s="144">
        <f ca="1">'F12_Including POA'!$F$45/12</f>
        <v>1.4568222787914651</v>
      </c>
      <c r="G79" s="144">
        <f ca="1">'F12_Including POA'!$F$45/12</f>
        <v>1.4568222787914651</v>
      </c>
      <c r="H79" s="144">
        <f ca="1">'F12_Including POA'!$F$45/12</f>
        <v>1.4568222787914651</v>
      </c>
      <c r="I79" s="144">
        <f ca="1">'F12_Including POA'!$F$45/12</f>
        <v>1.4568222787914651</v>
      </c>
      <c r="J79" s="144">
        <f ca="1">'F12_Including POA'!$F$45/12</f>
        <v>1.4568222787914651</v>
      </c>
      <c r="K79" s="144">
        <f ca="1">'F12_Including POA'!$F$45/12</f>
        <v>1.4568222787914651</v>
      </c>
      <c r="L79" s="144">
        <f ca="1">'F12_Including POA'!$F$45/12</f>
        <v>1.4568222787914651</v>
      </c>
      <c r="M79" s="144">
        <f ca="1">'F12_Including POA'!$F$45/12</f>
        <v>1.4568222787914651</v>
      </c>
      <c r="N79" s="144">
        <f ca="1">'F12_Including POA'!$F$45/12</f>
        <v>1.4568222787914651</v>
      </c>
      <c r="O79" s="144">
        <f ca="1">'F12_Including POA'!$F$45/12</f>
        <v>1.4568222787914651</v>
      </c>
      <c r="P79" s="144">
        <f t="shared" ca="1" si="4"/>
        <v>17.48186734549758</v>
      </c>
    </row>
    <row r="80" spans="2:16">
      <c r="B80" s="145" t="s">
        <v>600</v>
      </c>
      <c r="C80" s="151" t="s">
        <v>601</v>
      </c>
      <c r="D80" s="144">
        <f ca="1">'F12_Including POA'!$F$46/12</f>
        <v>2.5444440899667853E-2</v>
      </c>
      <c r="E80" s="144">
        <f ca="1">'F12_Including POA'!$F$46/12</f>
        <v>2.5444440899667853E-2</v>
      </c>
      <c r="F80" s="144">
        <f ca="1">'F12_Including POA'!$F$46/12</f>
        <v>2.5444440899667853E-2</v>
      </c>
      <c r="G80" s="144">
        <f ca="1">'F12_Including POA'!$F$46/12</f>
        <v>2.5444440899667853E-2</v>
      </c>
      <c r="H80" s="144">
        <f ca="1">'F12_Including POA'!$F$46/12</f>
        <v>2.5444440899667853E-2</v>
      </c>
      <c r="I80" s="144">
        <f ca="1">'F12_Including POA'!$F$46/12</f>
        <v>2.5444440899667853E-2</v>
      </c>
      <c r="J80" s="144">
        <f ca="1">'F12_Including POA'!$F$46/12</f>
        <v>2.5444440899667853E-2</v>
      </c>
      <c r="K80" s="144">
        <f ca="1">'F12_Including POA'!$F$46/12</f>
        <v>2.5444440899667853E-2</v>
      </c>
      <c r="L80" s="144">
        <f ca="1">'F12_Including POA'!$F$46/12</f>
        <v>2.5444440899667853E-2</v>
      </c>
      <c r="M80" s="144">
        <f ca="1">'F12_Including POA'!$F$46/12</f>
        <v>2.5444440899667853E-2</v>
      </c>
      <c r="N80" s="144">
        <f ca="1">'F12_Including POA'!$F$46/12</f>
        <v>2.5444440899667853E-2</v>
      </c>
      <c r="O80" s="144">
        <f ca="1">'F12_Including POA'!$F$46/12</f>
        <v>2.5444440899667853E-2</v>
      </c>
      <c r="P80" s="144">
        <f t="shared" ca="1" si="4"/>
        <v>0.30533329079601423</v>
      </c>
    </row>
    <row r="81" spans="2:16">
      <c r="B81" s="145" t="s">
        <v>602</v>
      </c>
      <c r="C81" s="151" t="s">
        <v>603</v>
      </c>
      <c r="D81" s="144">
        <f ca="1">'F12_Including POA'!$F$47/12</f>
        <v>1.3082206289432347E-2</v>
      </c>
      <c r="E81" s="144">
        <f ca="1">'F12_Including POA'!$F$47/12</f>
        <v>1.3082206289432347E-2</v>
      </c>
      <c r="F81" s="144">
        <f ca="1">'F12_Including POA'!$F$47/12</f>
        <v>1.3082206289432347E-2</v>
      </c>
      <c r="G81" s="144">
        <f ca="1">'F12_Including POA'!$F$47/12</f>
        <v>1.3082206289432347E-2</v>
      </c>
      <c r="H81" s="144">
        <f ca="1">'F12_Including POA'!$F$47/12</f>
        <v>1.3082206289432347E-2</v>
      </c>
      <c r="I81" s="144">
        <f ca="1">'F12_Including POA'!$F$47/12</f>
        <v>1.3082206289432347E-2</v>
      </c>
      <c r="J81" s="144">
        <f ca="1">'F12_Including POA'!$F$47/12</f>
        <v>1.3082206289432347E-2</v>
      </c>
      <c r="K81" s="144">
        <f ca="1">'F12_Including POA'!$F$47/12</f>
        <v>1.3082206289432347E-2</v>
      </c>
      <c r="L81" s="144">
        <f ca="1">'F12_Including POA'!$F$47/12</f>
        <v>1.3082206289432347E-2</v>
      </c>
      <c r="M81" s="144">
        <f ca="1">'F12_Including POA'!$F$47/12</f>
        <v>1.3082206289432347E-2</v>
      </c>
      <c r="N81" s="144">
        <f ca="1">'F12_Including POA'!$F$47/12</f>
        <v>1.3082206289432347E-2</v>
      </c>
      <c r="O81" s="144">
        <f ca="1">'F12_Including POA'!$F$47/12</f>
        <v>1.3082206289432347E-2</v>
      </c>
      <c r="P81" s="144">
        <f t="shared" ca="1" si="4"/>
        <v>0.1569864754731882</v>
      </c>
    </row>
    <row r="82" spans="2:16">
      <c r="B82" s="145" t="s">
        <v>604</v>
      </c>
      <c r="C82" s="151" t="s">
        <v>605</v>
      </c>
      <c r="D82" s="144">
        <f ca="1">'F12_Including POA'!$F$48/12</f>
        <v>1.4125737353303976E-2</v>
      </c>
      <c r="E82" s="144">
        <f ca="1">'F12_Including POA'!$F$48/12</f>
        <v>1.4125737353303976E-2</v>
      </c>
      <c r="F82" s="144">
        <f ca="1">'F12_Including POA'!$F$48/12</f>
        <v>1.4125737353303976E-2</v>
      </c>
      <c r="G82" s="144">
        <f ca="1">'F12_Including POA'!$F$48/12</f>
        <v>1.4125737353303976E-2</v>
      </c>
      <c r="H82" s="144">
        <f ca="1">'F12_Including POA'!$F$48/12</f>
        <v>1.4125737353303976E-2</v>
      </c>
      <c r="I82" s="144">
        <f ca="1">'F12_Including POA'!$F$48/12</f>
        <v>1.4125737353303976E-2</v>
      </c>
      <c r="J82" s="144">
        <f ca="1">'F12_Including POA'!$F$48/12</f>
        <v>1.4125737353303976E-2</v>
      </c>
      <c r="K82" s="144">
        <f ca="1">'F12_Including POA'!$F$48/12</f>
        <v>1.4125737353303976E-2</v>
      </c>
      <c r="L82" s="144">
        <f ca="1">'F12_Including POA'!$F$48/12</f>
        <v>1.4125737353303976E-2</v>
      </c>
      <c r="M82" s="144">
        <f ca="1">'F12_Including POA'!$F$48/12</f>
        <v>1.4125737353303976E-2</v>
      </c>
      <c r="N82" s="144">
        <f ca="1">'F12_Including POA'!$F$48/12</f>
        <v>1.4125737353303976E-2</v>
      </c>
      <c r="O82" s="144">
        <f ca="1">'F12_Including POA'!$F$48/12</f>
        <v>1.4125737353303976E-2</v>
      </c>
      <c r="P82" s="144">
        <f t="shared" ca="1" si="4"/>
        <v>0.16950884823964765</v>
      </c>
    </row>
    <row r="83" spans="2:16">
      <c r="B83" s="145" t="s">
        <v>606</v>
      </c>
      <c r="C83" s="151" t="s">
        <v>607</v>
      </c>
      <c r="D83" s="144">
        <f ca="1">'F12_Including POA'!$F$49/12</f>
        <v>2.820471143734014E-2</v>
      </c>
      <c r="E83" s="144">
        <f ca="1">'F12_Including POA'!$F$49/12</f>
        <v>2.820471143734014E-2</v>
      </c>
      <c r="F83" s="144">
        <f ca="1">'F12_Including POA'!$F$49/12</f>
        <v>2.820471143734014E-2</v>
      </c>
      <c r="G83" s="144">
        <f ca="1">'F12_Including POA'!$F$49/12</f>
        <v>2.820471143734014E-2</v>
      </c>
      <c r="H83" s="144">
        <f ca="1">'F12_Including POA'!$F$49/12</f>
        <v>2.820471143734014E-2</v>
      </c>
      <c r="I83" s="144">
        <f ca="1">'F12_Including POA'!$F$49/12</f>
        <v>2.820471143734014E-2</v>
      </c>
      <c r="J83" s="144">
        <f ca="1">'F12_Including POA'!$F$49/12</f>
        <v>2.820471143734014E-2</v>
      </c>
      <c r="K83" s="144">
        <f ca="1">'F12_Including POA'!$F$49/12</f>
        <v>2.820471143734014E-2</v>
      </c>
      <c r="L83" s="144">
        <f ca="1">'F12_Including POA'!$F$49/12</f>
        <v>2.820471143734014E-2</v>
      </c>
      <c r="M83" s="144">
        <f ca="1">'F12_Including POA'!$F$49/12</f>
        <v>2.820471143734014E-2</v>
      </c>
      <c r="N83" s="144">
        <f ca="1">'F12_Including POA'!$F$49/12</f>
        <v>2.820471143734014E-2</v>
      </c>
      <c r="O83" s="144">
        <f ca="1">'F12_Including POA'!$F$49/12</f>
        <v>2.820471143734014E-2</v>
      </c>
      <c r="P83" s="144">
        <f t="shared" ca="1" si="4"/>
        <v>0.33845653724808172</v>
      </c>
    </row>
    <row r="84" spans="2:16">
      <c r="B84" s="145" t="s">
        <v>608</v>
      </c>
      <c r="C84" s="151" t="s">
        <v>609</v>
      </c>
      <c r="D84" s="144">
        <f ca="1">'F12_Including POA'!$F$50/12</f>
        <v>4.0974989930297738E-2</v>
      </c>
      <c r="E84" s="144">
        <f ca="1">'F12_Including POA'!$F$50/12</f>
        <v>4.0974989930297738E-2</v>
      </c>
      <c r="F84" s="144">
        <f ca="1">'F12_Including POA'!$F$50/12</f>
        <v>4.0974989930297738E-2</v>
      </c>
      <c r="G84" s="144">
        <f ca="1">'F12_Including POA'!$F$50/12</f>
        <v>4.0974989930297738E-2</v>
      </c>
      <c r="H84" s="144">
        <f ca="1">'F12_Including POA'!$F$50/12</f>
        <v>4.0974989930297738E-2</v>
      </c>
      <c r="I84" s="144">
        <f ca="1">'F12_Including POA'!$F$50/12</f>
        <v>4.0974989930297738E-2</v>
      </c>
      <c r="J84" s="144">
        <f ca="1">'F12_Including POA'!$F$50/12</f>
        <v>4.0974989930297738E-2</v>
      </c>
      <c r="K84" s="144">
        <f ca="1">'F12_Including POA'!$F$50/12</f>
        <v>4.0974989930297738E-2</v>
      </c>
      <c r="L84" s="144">
        <f ca="1">'F12_Including POA'!$F$50/12</f>
        <v>4.0974989930297738E-2</v>
      </c>
      <c r="M84" s="144">
        <f ca="1">'F12_Including POA'!$F$50/12</f>
        <v>4.0974989930297738E-2</v>
      </c>
      <c r="N84" s="144">
        <f ca="1">'F12_Including POA'!$F$50/12</f>
        <v>4.0974989930297738E-2</v>
      </c>
      <c r="O84" s="144">
        <f ca="1">'F12_Including POA'!$F$50/12</f>
        <v>4.0974989930297738E-2</v>
      </c>
      <c r="P84" s="144">
        <f t="shared" ca="1" si="4"/>
        <v>0.49169987916357288</v>
      </c>
    </row>
    <row r="85" spans="2:16">
      <c r="B85" s="145" t="s">
        <v>610</v>
      </c>
      <c r="C85" s="151" t="s">
        <v>611</v>
      </c>
      <c r="D85" s="144">
        <f ca="1">'F12_Including POA'!$F$51/12</f>
        <v>2.0941417462323978E-2</v>
      </c>
      <c r="E85" s="144">
        <f ca="1">'F12_Including POA'!$F$51/12</f>
        <v>2.0941417462323978E-2</v>
      </c>
      <c r="F85" s="144">
        <f ca="1">'F12_Including POA'!$F$51/12</f>
        <v>2.0941417462323978E-2</v>
      </c>
      <c r="G85" s="144">
        <f ca="1">'F12_Including POA'!$F$51/12</f>
        <v>2.0941417462323978E-2</v>
      </c>
      <c r="H85" s="144">
        <f ca="1">'F12_Including POA'!$F$51/12</f>
        <v>2.0941417462323978E-2</v>
      </c>
      <c r="I85" s="144">
        <f ca="1">'F12_Including POA'!$F$51/12</f>
        <v>2.0941417462323978E-2</v>
      </c>
      <c r="J85" s="144">
        <f ca="1">'F12_Including POA'!$F$51/12</f>
        <v>2.0941417462323978E-2</v>
      </c>
      <c r="K85" s="144">
        <f ca="1">'F12_Including POA'!$F$51/12</f>
        <v>2.0941417462323978E-2</v>
      </c>
      <c r="L85" s="144">
        <f ca="1">'F12_Including POA'!$F$51/12</f>
        <v>2.0941417462323978E-2</v>
      </c>
      <c r="M85" s="144">
        <f ca="1">'F12_Including POA'!$F$51/12</f>
        <v>2.0941417462323978E-2</v>
      </c>
      <c r="N85" s="144">
        <f ca="1">'F12_Including POA'!$F$51/12</f>
        <v>2.0941417462323978E-2</v>
      </c>
      <c r="O85" s="144">
        <f ca="1">'F12_Including POA'!$F$51/12</f>
        <v>2.0941417462323978E-2</v>
      </c>
      <c r="P85" s="144">
        <f t="shared" ca="1" si="4"/>
        <v>0.25129700954788775</v>
      </c>
    </row>
    <row r="86" spans="2:16">
      <c r="B86" s="145" t="s">
        <v>612</v>
      </c>
      <c r="C86" s="151" t="s">
        <v>613</v>
      </c>
      <c r="D86" s="144">
        <f ca="1">'F12_Including POA'!$F$52/12</f>
        <v>1.4046603683554454E-2</v>
      </c>
      <c r="E86" s="144">
        <f ca="1">'F12_Including POA'!$F$52/12</f>
        <v>1.4046603683554454E-2</v>
      </c>
      <c r="F86" s="144">
        <f ca="1">'F12_Including POA'!$F$52/12</f>
        <v>1.4046603683554454E-2</v>
      </c>
      <c r="G86" s="144">
        <f ca="1">'F12_Including POA'!$F$52/12</f>
        <v>1.4046603683554454E-2</v>
      </c>
      <c r="H86" s="144">
        <f ca="1">'F12_Including POA'!$F$52/12</f>
        <v>1.4046603683554454E-2</v>
      </c>
      <c r="I86" s="144">
        <f ca="1">'F12_Including POA'!$F$52/12</f>
        <v>1.4046603683554454E-2</v>
      </c>
      <c r="J86" s="144">
        <f ca="1">'F12_Including POA'!$F$52/12</f>
        <v>1.4046603683554454E-2</v>
      </c>
      <c r="K86" s="144">
        <f ca="1">'F12_Including POA'!$F$52/12</f>
        <v>1.4046603683554454E-2</v>
      </c>
      <c r="L86" s="144">
        <f ca="1">'F12_Including POA'!$F$52/12</f>
        <v>1.4046603683554454E-2</v>
      </c>
      <c r="M86" s="144">
        <f ca="1">'F12_Including POA'!$F$52/12</f>
        <v>1.4046603683554454E-2</v>
      </c>
      <c r="N86" s="144">
        <f ca="1">'F12_Including POA'!$F$52/12</f>
        <v>1.4046603683554454E-2</v>
      </c>
      <c r="O86" s="144">
        <f ca="1">'F12_Including POA'!$F$52/12</f>
        <v>1.4046603683554454E-2</v>
      </c>
      <c r="P86" s="144">
        <f t="shared" ca="1" si="4"/>
        <v>0.16855924420265345</v>
      </c>
    </row>
    <row r="87" spans="2:16">
      <c r="B87" s="145" t="s">
        <v>614</v>
      </c>
      <c r="C87" s="151" t="s">
        <v>615</v>
      </c>
      <c r="D87" s="144">
        <f ca="1">'F12_Including POA'!$F$53/12</f>
        <v>4.9311049480381631E-3</v>
      </c>
      <c r="E87" s="144">
        <f ca="1">'F12_Including POA'!$F$53/12</f>
        <v>4.9311049480381631E-3</v>
      </c>
      <c r="F87" s="144">
        <f ca="1">'F12_Including POA'!$F$53/12</f>
        <v>4.9311049480381631E-3</v>
      </c>
      <c r="G87" s="144">
        <f ca="1">'F12_Including POA'!$F$53/12</f>
        <v>4.9311049480381631E-3</v>
      </c>
      <c r="H87" s="144">
        <f ca="1">'F12_Including POA'!$F$53/12</f>
        <v>4.9311049480381631E-3</v>
      </c>
      <c r="I87" s="144">
        <f ca="1">'F12_Including POA'!$F$53/12</f>
        <v>4.9311049480381631E-3</v>
      </c>
      <c r="J87" s="144">
        <f ca="1">'F12_Including POA'!$F$53/12</f>
        <v>4.9311049480381631E-3</v>
      </c>
      <c r="K87" s="144">
        <f ca="1">'F12_Including POA'!$F$53/12</f>
        <v>4.9311049480381631E-3</v>
      </c>
      <c r="L87" s="144">
        <f ca="1">'F12_Including POA'!$F$53/12</f>
        <v>4.9311049480381631E-3</v>
      </c>
      <c r="M87" s="144">
        <f ca="1">'F12_Including POA'!$F$53/12</f>
        <v>4.9311049480381631E-3</v>
      </c>
      <c r="N87" s="144">
        <f ca="1">'F12_Including POA'!$F$53/12</f>
        <v>4.9311049480381631E-3</v>
      </c>
      <c r="O87" s="144">
        <f ca="1">'F12_Including POA'!$F$53/12</f>
        <v>4.9311049480381631E-3</v>
      </c>
      <c r="P87" s="144">
        <f t="shared" ca="1" si="4"/>
        <v>5.9173259376457947E-2</v>
      </c>
    </row>
    <row r="88" spans="2:16">
      <c r="B88" s="145" t="s">
        <v>616</v>
      </c>
      <c r="C88" s="151" t="s">
        <v>617</v>
      </c>
      <c r="D88" s="144">
        <f ca="1">'F12_Including POA'!$F$54/12</f>
        <v>1.6237415474549249E-3</v>
      </c>
      <c r="E88" s="144">
        <f ca="1">'F12_Including POA'!$F$54/12</f>
        <v>1.6237415474549249E-3</v>
      </c>
      <c r="F88" s="144">
        <f ca="1">'F12_Including POA'!$F$54/12</f>
        <v>1.6237415474549249E-3</v>
      </c>
      <c r="G88" s="144">
        <f ca="1">'F12_Including POA'!$F$54/12</f>
        <v>1.6237415474549249E-3</v>
      </c>
      <c r="H88" s="144">
        <f ca="1">'F12_Including POA'!$F$54/12</f>
        <v>1.6237415474549249E-3</v>
      </c>
      <c r="I88" s="144">
        <f ca="1">'F12_Including POA'!$F$54/12</f>
        <v>1.6237415474549249E-3</v>
      </c>
      <c r="J88" s="144">
        <f ca="1">'F12_Including POA'!$F$54/12</f>
        <v>1.6237415474549249E-3</v>
      </c>
      <c r="K88" s="144">
        <f ca="1">'F12_Including POA'!$F$54/12</f>
        <v>1.6237415474549249E-3</v>
      </c>
      <c r="L88" s="144">
        <f ca="1">'F12_Including POA'!$F$54/12</f>
        <v>1.6237415474549249E-3</v>
      </c>
      <c r="M88" s="144">
        <f ca="1">'F12_Including POA'!$F$54/12</f>
        <v>1.6237415474549249E-3</v>
      </c>
      <c r="N88" s="144">
        <f ca="1">'F12_Including POA'!$F$54/12</f>
        <v>1.6237415474549249E-3</v>
      </c>
      <c r="O88" s="144">
        <f ca="1">'F12_Including POA'!$F$54/12</f>
        <v>1.6237415474549249E-3</v>
      </c>
      <c r="P88" s="144">
        <f t="shared" ca="1" si="4"/>
        <v>1.9484898569459098E-2</v>
      </c>
    </row>
    <row r="89" spans="2:16">
      <c r="B89" s="145" t="s">
        <v>618</v>
      </c>
      <c r="C89" s="151" t="s">
        <v>619</v>
      </c>
      <c r="D89" s="144">
        <f ca="1">'F12_Including POA'!$F$55/12</f>
        <v>7.823178466289564E-2</v>
      </c>
      <c r="E89" s="144">
        <f ca="1">'F12_Including POA'!$F$55/12</f>
        <v>7.823178466289564E-2</v>
      </c>
      <c r="F89" s="144">
        <f ca="1">'F12_Including POA'!$F$55/12</f>
        <v>7.823178466289564E-2</v>
      </c>
      <c r="G89" s="144">
        <f ca="1">'F12_Including POA'!$F$55/12</f>
        <v>7.823178466289564E-2</v>
      </c>
      <c r="H89" s="144">
        <f ca="1">'F12_Including POA'!$F$55/12</f>
        <v>7.823178466289564E-2</v>
      </c>
      <c r="I89" s="144">
        <f ca="1">'F12_Including POA'!$F$55/12</f>
        <v>7.823178466289564E-2</v>
      </c>
      <c r="J89" s="144">
        <f ca="1">'F12_Including POA'!$F$55/12</f>
        <v>7.823178466289564E-2</v>
      </c>
      <c r="K89" s="144">
        <f ca="1">'F12_Including POA'!$F$55/12</f>
        <v>7.823178466289564E-2</v>
      </c>
      <c r="L89" s="144">
        <f ca="1">'F12_Including POA'!$F$55/12</f>
        <v>7.823178466289564E-2</v>
      </c>
      <c r="M89" s="144">
        <f ca="1">'F12_Including POA'!$F$55/12</f>
        <v>7.823178466289564E-2</v>
      </c>
      <c r="N89" s="144">
        <f ca="1">'F12_Including POA'!$F$55/12</f>
        <v>7.823178466289564E-2</v>
      </c>
      <c r="O89" s="144">
        <f ca="1">'F12_Including POA'!$F$55/12</f>
        <v>7.823178466289564E-2</v>
      </c>
      <c r="P89" s="144">
        <f t="shared" ca="1" si="4"/>
        <v>0.93878141595474751</v>
      </c>
    </row>
    <row r="90" spans="2:16">
      <c r="B90" s="145"/>
      <c r="C90" s="151" t="s">
        <v>620</v>
      </c>
      <c r="D90" s="144">
        <f ca="1">'F12_Including POA'!$F$56/12</f>
        <v>3.9192511078386762E-2</v>
      </c>
      <c r="E90" s="144">
        <f ca="1">'F12_Including POA'!$F$56/12</f>
        <v>3.9192511078386762E-2</v>
      </c>
      <c r="F90" s="144">
        <f ca="1">'F12_Including POA'!$F$56/12</f>
        <v>3.9192511078386762E-2</v>
      </c>
      <c r="G90" s="144">
        <f ca="1">'F12_Including POA'!$F$56/12</f>
        <v>3.9192511078386762E-2</v>
      </c>
      <c r="H90" s="144">
        <f ca="1">'F12_Including POA'!$F$56/12</f>
        <v>3.9192511078386762E-2</v>
      </c>
      <c r="I90" s="144">
        <f ca="1">'F12_Including POA'!$F$56/12</f>
        <v>3.9192511078386762E-2</v>
      </c>
      <c r="J90" s="144">
        <f ca="1">'F12_Including POA'!$F$56/12</f>
        <v>3.9192511078386762E-2</v>
      </c>
      <c r="K90" s="144">
        <f ca="1">'F12_Including POA'!$F$56/12</f>
        <v>3.9192511078386762E-2</v>
      </c>
      <c r="L90" s="144">
        <f ca="1">'F12_Including POA'!$F$56/12</f>
        <v>3.9192511078386762E-2</v>
      </c>
      <c r="M90" s="144">
        <f ca="1">'F12_Including POA'!$F$56/12</f>
        <v>3.9192511078386762E-2</v>
      </c>
      <c r="N90" s="144">
        <f ca="1">'F12_Including POA'!$F$56/12</f>
        <v>3.9192511078386762E-2</v>
      </c>
      <c r="O90" s="144">
        <f ca="1">'F12_Including POA'!$F$56/12</f>
        <v>3.9192511078386762E-2</v>
      </c>
      <c r="P90" s="144">
        <f t="shared" ca="1" si="4"/>
        <v>0.47031013294064122</v>
      </c>
    </row>
    <row r="91" spans="2:16">
      <c r="B91" s="145"/>
      <c r="C91" s="151" t="s">
        <v>621</v>
      </c>
      <c r="D91" s="144">
        <f ca="1">'F12_Including POA'!$F$57/12</f>
        <v>2.7444755319747303E-2</v>
      </c>
      <c r="E91" s="144">
        <f ca="1">'F12_Including POA'!$F$57/12</f>
        <v>2.7444755319747303E-2</v>
      </c>
      <c r="F91" s="144">
        <f ca="1">'F12_Including POA'!$F$57/12</f>
        <v>2.7444755319747303E-2</v>
      </c>
      <c r="G91" s="144">
        <f ca="1">'F12_Including POA'!$F$57/12</f>
        <v>2.7444755319747303E-2</v>
      </c>
      <c r="H91" s="144">
        <f ca="1">'F12_Including POA'!$F$57/12</f>
        <v>2.7444755319747303E-2</v>
      </c>
      <c r="I91" s="144">
        <f ca="1">'F12_Including POA'!$F$57/12</f>
        <v>2.7444755319747303E-2</v>
      </c>
      <c r="J91" s="144">
        <f ca="1">'F12_Including POA'!$F$57/12</f>
        <v>2.7444755319747303E-2</v>
      </c>
      <c r="K91" s="144">
        <f ca="1">'F12_Including POA'!$F$57/12</f>
        <v>2.7444755319747303E-2</v>
      </c>
      <c r="L91" s="144">
        <f ca="1">'F12_Including POA'!$F$57/12</f>
        <v>2.7444755319747303E-2</v>
      </c>
      <c r="M91" s="144">
        <f ca="1">'F12_Including POA'!$F$57/12</f>
        <v>2.7444755319747303E-2</v>
      </c>
      <c r="N91" s="144">
        <f ca="1">'F12_Including POA'!$F$57/12</f>
        <v>2.7444755319747303E-2</v>
      </c>
      <c r="O91" s="144">
        <f ca="1">'F12_Including POA'!$F$57/12</f>
        <v>2.7444755319747303E-2</v>
      </c>
      <c r="P91" s="144">
        <f t="shared" ca="1" si="4"/>
        <v>0.3293370638369677</v>
      </c>
    </row>
    <row r="92" spans="2:16">
      <c r="B92" s="145"/>
      <c r="C92" s="151" t="s">
        <v>622</v>
      </c>
      <c r="D92" s="144">
        <f ca="1">'F12_Including POA'!$F$58/12</f>
        <v>5.1677164503856315E-2</v>
      </c>
      <c r="E92" s="144">
        <f ca="1">'F12_Including POA'!$F$58/12</f>
        <v>5.1677164503856315E-2</v>
      </c>
      <c r="F92" s="144">
        <f ca="1">'F12_Including POA'!$F$58/12</f>
        <v>5.1677164503856315E-2</v>
      </c>
      <c r="G92" s="144">
        <f ca="1">'F12_Including POA'!$F$58/12</f>
        <v>5.1677164503856315E-2</v>
      </c>
      <c r="H92" s="144">
        <f ca="1">'F12_Including POA'!$F$58/12</f>
        <v>5.1677164503856315E-2</v>
      </c>
      <c r="I92" s="144">
        <f ca="1">'F12_Including POA'!$F$58/12</f>
        <v>5.1677164503856315E-2</v>
      </c>
      <c r="J92" s="144">
        <f ca="1">'F12_Including POA'!$F$58/12</f>
        <v>5.1677164503856315E-2</v>
      </c>
      <c r="K92" s="144">
        <f ca="1">'F12_Including POA'!$F$58/12</f>
        <v>5.1677164503856315E-2</v>
      </c>
      <c r="L92" s="144">
        <f ca="1">'F12_Including POA'!$F$58/12</f>
        <v>5.1677164503856315E-2</v>
      </c>
      <c r="M92" s="144">
        <f ca="1">'F12_Including POA'!$F$58/12</f>
        <v>5.1677164503856315E-2</v>
      </c>
      <c r="N92" s="144">
        <f ca="1">'F12_Including POA'!$F$58/12</f>
        <v>5.1677164503856315E-2</v>
      </c>
      <c r="O92" s="144">
        <f ca="1">'F12_Including POA'!$F$58/12</f>
        <v>5.1677164503856315E-2</v>
      </c>
      <c r="P92" s="144">
        <f t="shared" ca="1" si="4"/>
        <v>0.62012597404627556</v>
      </c>
    </row>
    <row r="93" spans="2:16">
      <c r="B93" s="145"/>
      <c r="C93" s="151" t="s">
        <v>622</v>
      </c>
      <c r="D93" s="144">
        <f ca="1">'F12_Including POA'!$F$59/12</f>
        <v>5.1677164503856315E-2</v>
      </c>
      <c r="E93" s="144">
        <f ca="1">'F12_Including POA'!$F$59/12</f>
        <v>5.1677164503856315E-2</v>
      </c>
      <c r="F93" s="144">
        <f ca="1">'F12_Including POA'!$F$59/12</f>
        <v>5.1677164503856315E-2</v>
      </c>
      <c r="G93" s="144">
        <f ca="1">'F12_Including POA'!$F$59/12</f>
        <v>5.1677164503856315E-2</v>
      </c>
      <c r="H93" s="144">
        <f ca="1">'F12_Including POA'!$F$59/12</f>
        <v>5.1677164503856315E-2</v>
      </c>
      <c r="I93" s="144">
        <f ca="1">'F12_Including POA'!$F$59/12</f>
        <v>5.1677164503856315E-2</v>
      </c>
      <c r="J93" s="144">
        <f ca="1">'F12_Including POA'!$F$59/12</f>
        <v>5.1677164503856315E-2</v>
      </c>
      <c r="K93" s="144">
        <f ca="1">'F12_Including POA'!$F$59/12</f>
        <v>5.1677164503856315E-2</v>
      </c>
      <c r="L93" s="144">
        <f ca="1">'F12_Including POA'!$F$59/12</f>
        <v>5.1677164503856315E-2</v>
      </c>
      <c r="M93" s="144">
        <f ca="1">'F12_Including POA'!$F$59/12</f>
        <v>5.1677164503856315E-2</v>
      </c>
      <c r="N93" s="144">
        <f ca="1">'F12_Including POA'!$F$59/12</f>
        <v>5.1677164503856315E-2</v>
      </c>
      <c r="O93" s="144">
        <f ca="1">'F12_Including POA'!$F$59/12</f>
        <v>5.1677164503856315E-2</v>
      </c>
      <c r="P93" s="144">
        <f t="shared" ca="1" si="4"/>
        <v>0.62012597404627556</v>
      </c>
    </row>
    <row r="94" spans="2:16">
      <c r="B94" s="142">
        <v>2</v>
      </c>
      <c r="C94" s="143" t="s">
        <v>623</v>
      </c>
      <c r="D94" s="144"/>
      <c r="E94" s="144"/>
      <c r="F94" s="144"/>
      <c r="G94" s="144"/>
      <c r="H94" s="144"/>
      <c r="I94" s="144"/>
      <c r="J94" s="144"/>
      <c r="K94" s="144"/>
      <c r="L94" s="144"/>
      <c r="M94" s="144"/>
      <c r="N94" s="144"/>
      <c r="O94" s="144"/>
      <c r="P94" s="144">
        <f t="shared" si="4"/>
        <v>0</v>
      </c>
    </row>
    <row r="95" spans="2:16">
      <c r="B95" s="145">
        <v>2.1</v>
      </c>
      <c r="C95" s="146" t="s">
        <v>627</v>
      </c>
      <c r="D95" s="144"/>
      <c r="E95" s="144"/>
      <c r="F95" s="144"/>
      <c r="G95" s="144"/>
      <c r="H95" s="144"/>
      <c r="I95" s="144"/>
      <c r="J95" s="144"/>
      <c r="K95" s="144"/>
      <c r="L95" s="144"/>
      <c r="M95" s="144"/>
      <c r="N95" s="144"/>
      <c r="O95" s="144"/>
      <c r="P95" s="144">
        <f t="shared" si="4"/>
        <v>0</v>
      </c>
    </row>
    <row r="96" spans="2:16">
      <c r="B96" s="145">
        <v>2.2000000000000002</v>
      </c>
      <c r="C96" s="146" t="s">
        <v>628</v>
      </c>
      <c r="D96" s="144"/>
      <c r="E96" s="144"/>
      <c r="F96" s="144"/>
      <c r="G96" s="144"/>
      <c r="H96" s="144"/>
      <c r="I96" s="144"/>
      <c r="J96" s="144"/>
      <c r="K96" s="144"/>
      <c r="L96" s="144"/>
      <c r="M96" s="144"/>
      <c r="N96" s="144"/>
      <c r="O96" s="144"/>
      <c r="P96" s="144">
        <f t="shared" si="4"/>
        <v>0</v>
      </c>
    </row>
    <row r="97" spans="2:16">
      <c r="B97" s="142"/>
      <c r="C97" s="146" t="s">
        <v>629</v>
      </c>
      <c r="D97" s="144"/>
      <c r="E97" s="144"/>
      <c r="F97" s="144"/>
      <c r="G97" s="144"/>
      <c r="H97" s="144"/>
      <c r="I97" s="144"/>
      <c r="J97" s="144"/>
      <c r="K97" s="144"/>
      <c r="L97" s="144"/>
      <c r="M97" s="144"/>
      <c r="N97" s="144"/>
      <c r="O97" s="144"/>
      <c r="P97" s="144">
        <f t="shared" si="4"/>
        <v>0</v>
      </c>
    </row>
    <row r="98" spans="2:16">
      <c r="B98" s="142">
        <v>3</v>
      </c>
      <c r="C98" s="143" t="s">
        <v>624</v>
      </c>
      <c r="D98" s="144">
        <v>0</v>
      </c>
      <c r="E98" s="144">
        <v>0</v>
      </c>
      <c r="F98" s="144">
        <v>0</v>
      </c>
      <c r="G98" s="144">
        <v>0</v>
      </c>
      <c r="H98" s="144">
        <v>0</v>
      </c>
      <c r="I98" s="144">
        <v>0</v>
      </c>
      <c r="J98" s="144">
        <v>0</v>
      </c>
      <c r="K98" s="144">
        <v>0</v>
      </c>
      <c r="L98" s="144">
        <v>0</v>
      </c>
      <c r="M98" s="144">
        <v>0</v>
      </c>
      <c r="N98" s="144">
        <v>0</v>
      </c>
      <c r="O98" s="144">
        <v>0</v>
      </c>
      <c r="P98" s="144">
        <f t="shared" si="4"/>
        <v>0</v>
      </c>
    </row>
    <row r="99" spans="2:16">
      <c r="B99" s="142"/>
      <c r="C99" s="143" t="s">
        <v>348</v>
      </c>
      <c r="D99" s="144"/>
      <c r="E99" s="144"/>
      <c r="F99" s="144"/>
      <c r="G99" s="144"/>
      <c r="H99" s="144"/>
      <c r="I99" s="144"/>
      <c r="J99" s="144"/>
      <c r="K99" s="144"/>
      <c r="L99" s="144"/>
      <c r="M99" s="144"/>
      <c r="N99" s="144"/>
      <c r="O99" s="144"/>
      <c r="P99" s="144">
        <f t="shared" si="4"/>
        <v>0</v>
      </c>
    </row>
    <row r="100" spans="2:16">
      <c r="B100" s="147">
        <v>4</v>
      </c>
      <c r="C100" s="148" t="s">
        <v>625</v>
      </c>
      <c r="D100" s="324">
        <f t="shared" ref="D100:O100" ca="1" si="5">SUM(D75:D99)</f>
        <v>77.460187831847833</v>
      </c>
      <c r="E100" s="324">
        <f t="shared" ca="1" si="5"/>
        <v>77.460187831847833</v>
      </c>
      <c r="F100" s="324">
        <f t="shared" ca="1" si="5"/>
        <v>77.460187831847833</v>
      </c>
      <c r="G100" s="324">
        <f t="shared" ca="1" si="5"/>
        <v>77.460187831847833</v>
      </c>
      <c r="H100" s="324">
        <f t="shared" ca="1" si="5"/>
        <v>77.460187831847833</v>
      </c>
      <c r="I100" s="324">
        <f t="shared" ca="1" si="5"/>
        <v>77.460187831847833</v>
      </c>
      <c r="J100" s="324">
        <f t="shared" ca="1" si="5"/>
        <v>77.460187831847833</v>
      </c>
      <c r="K100" s="324">
        <f t="shared" ca="1" si="5"/>
        <v>77.460187831847833</v>
      </c>
      <c r="L100" s="324">
        <f t="shared" ca="1" si="5"/>
        <v>77.460187831847833</v>
      </c>
      <c r="M100" s="324">
        <f t="shared" ca="1" si="5"/>
        <v>77.460187831847833</v>
      </c>
      <c r="N100" s="324">
        <f t="shared" ca="1" si="5"/>
        <v>77.460187831847833</v>
      </c>
      <c r="O100" s="324">
        <f t="shared" ca="1" si="5"/>
        <v>77.460187831847833</v>
      </c>
      <c r="P100" s="324">
        <f ca="1">SUM(P75:P99)</f>
        <v>929.52225398217433</v>
      </c>
    </row>
    <row r="103" spans="2:16">
      <c r="B103" s="8" t="s">
        <v>631</v>
      </c>
      <c r="C103" s="7"/>
      <c r="G103" s="7"/>
      <c r="I103" s="8"/>
      <c r="L103" s="8"/>
    </row>
    <row r="104" spans="2:16">
      <c r="C104" s="7"/>
      <c r="G104" s="7"/>
      <c r="I104" s="8"/>
      <c r="L104" s="8"/>
      <c r="P104" s="8" t="s">
        <v>52</v>
      </c>
    </row>
    <row r="105" spans="2:16">
      <c r="B105" s="140" t="s">
        <v>576</v>
      </c>
      <c r="C105" s="140" t="s">
        <v>53</v>
      </c>
      <c r="D105" s="141" t="s">
        <v>577</v>
      </c>
      <c r="E105" s="141" t="s">
        <v>578</v>
      </c>
      <c r="F105" s="141" t="s">
        <v>579</v>
      </c>
      <c r="G105" s="141" t="s">
        <v>580</v>
      </c>
      <c r="H105" s="141" t="s">
        <v>581</v>
      </c>
      <c r="I105" s="141" t="s">
        <v>582</v>
      </c>
      <c r="J105" s="141" t="s">
        <v>583</v>
      </c>
      <c r="K105" s="141" t="s">
        <v>584</v>
      </c>
      <c r="L105" s="141" t="s">
        <v>585</v>
      </c>
      <c r="M105" s="141" t="s">
        <v>586</v>
      </c>
      <c r="N105" s="141" t="s">
        <v>587</v>
      </c>
      <c r="O105" s="141" t="s">
        <v>588</v>
      </c>
      <c r="P105" s="141" t="s">
        <v>219</v>
      </c>
    </row>
    <row r="106" spans="2:16">
      <c r="B106" s="142">
        <v>1</v>
      </c>
      <c r="C106" s="143" t="s">
        <v>589</v>
      </c>
      <c r="E106" s="144"/>
      <c r="F106" s="144"/>
      <c r="G106" s="144"/>
      <c r="H106" s="144"/>
      <c r="I106" s="144"/>
      <c r="J106" s="144"/>
      <c r="K106" s="144"/>
      <c r="L106" s="144"/>
      <c r="M106" s="144"/>
      <c r="N106" s="144"/>
      <c r="O106" s="144"/>
      <c r="P106" s="144"/>
    </row>
    <row r="107" spans="2:16">
      <c r="B107" s="145" t="s">
        <v>590</v>
      </c>
      <c r="C107" s="151" t="s">
        <v>591</v>
      </c>
      <c r="D107" s="144">
        <f ca="1">'F12_Including POA'!$G$41/12</f>
        <v>67.546075765259317</v>
      </c>
      <c r="E107" s="144">
        <f ca="1">'F12_Including POA'!$G$41/12</f>
        <v>67.546075765259317</v>
      </c>
      <c r="F107" s="144">
        <f ca="1">'F12_Including POA'!$G$41/12</f>
        <v>67.546075765259317</v>
      </c>
      <c r="G107" s="144">
        <f ca="1">'F12_Including POA'!$G$41/12</f>
        <v>67.546075765259317</v>
      </c>
      <c r="H107" s="144">
        <f ca="1">'F12_Including POA'!$G$41/12</f>
        <v>67.546075765259317</v>
      </c>
      <c r="I107" s="144">
        <f ca="1">'F12_Including POA'!$G$41/12</f>
        <v>67.546075765259317</v>
      </c>
      <c r="J107" s="144">
        <f ca="1">'F12_Including POA'!$G$41/12</f>
        <v>67.546075765259317</v>
      </c>
      <c r="K107" s="144">
        <f ca="1">'F12_Including POA'!$G$41/12</f>
        <v>67.546075765259317</v>
      </c>
      <c r="L107" s="144">
        <f ca="1">'F12_Including POA'!$G$41/12</f>
        <v>67.546075765259317</v>
      </c>
      <c r="M107" s="144">
        <f ca="1">'F12_Including POA'!$G$41/12</f>
        <v>67.546075765259317</v>
      </c>
      <c r="N107" s="144">
        <f ca="1">'F12_Including POA'!$G$41/12</f>
        <v>67.546075765259317</v>
      </c>
      <c r="O107" s="144">
        <f ca="1">'F12_Including POA'!$G$41/12</f>
        <v>67.546075765259317</v>
      </c>
      <c r="P107" s="144">
        <f ca="1">SUM(D107:O107)</f>
        <v>810.55290918311164</v>
      </c>
    </row>
    <row r="108" spans="2:16">
      <c r="B108" s="145" t="s">
        <v>592</v>
      </c>
      <c r="C108" s="151" t="s">
        <v>593</v>
      </c>
      <c r="D108" s="144">
        <f ca="1">'F12_Including POA'!$G$42/12</f>
        <v>2.7620089356487991</v>
      </c>
      <c r="E108" s="144">
        <f ca="1">'F12_Including POA'!$G$42/12</f>
        <v>2.7620089356487991</v>
      </c>
      <c r="F108" s="144">
        <f ca="1">'F12_Including POA'!$G$42/12</f>
        <v>2.7620089356487991</v>
      </c>
      <c r="G108" s="144">
        <f ca="1">'F12_Including POA'!$G$42/12</f>
        <v>2.7620089356487991</v>
      </c>
      <c r="H108" s="144">
        <f ca="1">'F12_Including POA'!$G$42/12</f>
        <v>2.7620089356487991</v>
      </c>
      <c r="I108" s="144">
        <f ca="1">'F12_Including POA'!$G$42/12</f>
        <v>2.7620089356487991</v>
      </c>
      <c r="J108" s="144">
        <f ca="1">'F12_Including POA'!$G$42/12</f>
        <v>2.7620089356487991</v>
      </c>
      <c r="K108" s="144">
        <f ca="1">'F12_Including POA'!$G$42/12</f>
        <v>2.7620089356487991</v>
      </c>
      <c r="L108" s="144">
        <f ca="1">'F12_Including POA'!$G$42/12</f>
        <v>2.7620089356487991</v>
      </c>
      <c r="M108" s="144">
        <f ca="1">'F12_Including POA'!$G$42/12</f>
        <v>2.7620089356487991</v>
      </c>
      <c r="N108" s="144">
        <f ca="1">'F12_Including POA'!$G$42/12</f>
        <v>2.7620089356487991</v>
      </c>
      <c r="O108" s="144">
        <f ca="1">'F12_Including POA'!$G$42/12</f>
        <v>2.7620089356487991</v>
      </c>
      <c r="P108" s="144">
        <f t="shared" ref="P108:P125" ca="1" si="6">SUM(D108:O108)</f>
        <v>33.144107227785597</v>
      </c>
    </row>
    <row r="109" spans="2:16">
      <c r="B109" s="145" t="s">
        <v>594</v>
      </c>
      <c r="C109" s="151" t="s">
        <v>595</v>
      </c>
      <c r="D109" s="144">
        <f ca="1">'F12_Including POA'!$G$43/12</f>
        <v>4.7432343753977513</v>
      </c>
      <c r="E109" s="144">
        <f ca="1">'F12_Including POA'!$G$43/12</f>
        <v>4.7432343753977513</v>
      </c>
      <c r="F109" s="144">
        <f ca="1">'F12_Including POA'!$G$43/12</f>
        <v>4.7432343753977513</v>
      </c>
      <c r="G109" s="144">
        <f ca="1">'F12_Including POA'!$G$43/12</f>
        <v>4.7432343753977513</v>
      </c>
      <c r="H109" s="144">
        <f ca="1">'F12_Including POA'!$G$43/12</f>
        <v>4.7432343753977513</v>
      </c>
      <c r="I109" s="144">
        <f ca="1">'F12_Including POA'!$G$43/12</f>
        <v>4.7432343753977513</v>
      </c>
      <c r="J109" s="144">
        <f ca="1">'F12_Including POA'!$G$43/12</f>
        <v>4.7432343753977513</v>
      </c>
      <c r="K109" s="144">
        <f ca="1">'F12_Including POA'!$G$43/12</f>
        <v>4.7432343753977513</v>
      </c>
      <c r="L109" s="144">
        <f ca="1">'F12_Including POA'!$G$43/12</f>
        <v>4.7432343753977513</v>
      </c>
      <c r="M109" s="144">
        <f ca="1">'F12_Including POA'!$G$43/12</f>
        <v>4.7432343753977513</v>
      </c>
      <c r="N109" s="144">
        <f ca="1">'F12_Including POA'!$G$43/12</f>
        <v>4.7432343753977513</v>
      </c>
      <c r="O109" s="144">
        <f ca="1">'F12_Including POA'!$G$43/12</f>
        <v>4.7432343753977513</v>
      </c>
      <c r="P109" s="144">
        <f t="shared" ca="1" si="6"/>
        <v>56.918812504773001</v>
      </c>
    </row>
    <row r="110" spans="2:16">
      <c r="B110" s="145" t="s">
        <v>596</v>
      </c>
      <c r="C110" s="151" t="s">
        <v>597</v>
      </c>
      <c r="D110" s="144">
        <f ca="1">'F12_Including POA'!$G$44/12</f>
        <v>2.0690426960975237</v>
      </c>
      <c r="E110" s="144">
        <f ca="1">'F12_Including POA'!$G$44/12</f>
        <v>2.0690426960975237</v>
      </c>
      <c r="F110" s="144">
        <f ca="1">'F12_Including POA'!$G$44/12</f>
        <v>2.0690426960975237</v>
      </c>
      <c r="G110" s="144">
        <f ca="1">'F12_Including POA'!$G$44/12</f>
        <v>2.0690426960975237</v>
      </c>
      <c r="H110" s="144">
        <f ca="1">'F12_Including POA'!$G$44/12</f>
        <v>2.0690426960975237</v>
      </c>
      <c r="I110" s="144">
        <f ca="1">'F12_Including POA'!$G$44/12</f>
        <v>2.0690426960975237</v>
      </c>
      <c r="J110" s="144">
        <f ca="1">'F12_Including POA'!$G$44/12</f>
        <v>2.0690426960975237</v>
      </c>
      <c r="K110" s="144">
        <f ca="1">'F12_Including POA'!$G$44/12</f>
        <v>2.0690426960975237</v>
      </c>
      <c r="L110" s="144">
        <f ca="1">'F12_Including POA'!$G$44/12</f>
        <v>2.0690426960975237</v>
      </c>
      <c r="M110" s="144">
        <f ca="1">'F12_Including POA'!$G$44/12</f>
        <v>2.0690426960975237</v>
      </c>
      <c r="N110" s="144">
        <f ca="1">'F12_Including POA'!$G$44/12</f>
        <v>2.0690426960975237</v>
      </c>
      <c r="O110" s="144">
        <f ca="1">'F12_Including POA'!$G$44/12</f>
        <v>2.0690426960975237</v>
      </c>
      <c r="P110" s="144">
        <f t="shared" ca="1" si="6"/>
        <v>24.828512353170279</v>
      </c>
    </row>
    <row r="111" spans="2:16">
      <c r="B111" s="145" t="s">
        <v>598</v>
      </c>
      <c r="C111" s="151" t="s">
        <v>599</v>
      </c>
      <c r="D111" s="144">
        <f ca="1">'F12_Including POA'!$G$45/12</f>
        <v>1.4789287991044402</v>
      </c>
      <c r="E111" s="144">
        <f ca="1">'F12_Including POA'!$G$45/12</f>
        <v>1.4789287991044402</v>
      </c>
      <c r="F111" s="144">
        <f ca="1">'F12_Including POA'!$G$45/12</f>
        <v>1.4789287991044402</v>
      </c>
      <c r="G111" s="144">
        <f ca="1">'F12_Including POA'!$G$45/12</f>
        <v>1.4789287991044402</v>
      </c>
      <c r="H111" s="144">
        <f ca="1">'F12_Including POA'!$G$45/12</f>
        <v>1.4789287991044402</v>
      </c>
      <c r="I111" s="144">
        <f ca="1">'F12_Including POA'!$G$45/12</f>
        <v>1.4789287991044402</v>
      </c>
      <c r="J111" s="144">
        <f ca="1">'F12_Including POA'!$G$45/12</f>
        <v>1.4789287991044402</v>
      </c>
      <c r="K111" s="144">
        <f ca="1">'F12_Including POA'!$G$45/12</f>
        <v>1.4789287991044402</v>
      </c>
      <c r="L111" s="144">
        <f ca="1">'F12_Including POA'!$G$45/12</f>
        <v>1.4789287991044402</v>
      </c>
      <c r="M111" s="144">
        <f ca="1">'F12_Including POA'!$G$45/12</f>
        <v>1.4789287991044402</v>
      </c>
      <c r="N111" s="144">
        <f ca="1">'F12_Including POA'!$G$45/12</f>
        <v>1.4789287991044402</v>
      </c>
      <c r="O111" s="144">
        <f ca="1">'F12_Including POA'!$G$45/12</f>
        <v>1.4789287991044402</v>
      </c>
      <c r="P111" s="144">
        <f t="shared" ca="1" si="6"/>
        <v>17.747145589253286</v>
      </c>
    </row>
    <row r="112" spans="2:16">
      <c r="B112" s="145" t="s">
        <v>600</v>
      </c>
      <c r="C112" s="151" t="s">
        <v>601</v>
      </c>
      <c r="D112" s="144">
        <f ca="1">'F12_Including POA'!$G$46/12</f>
        <v>2.4992052573929752E-2</v>
      </c>
      <c r="E112" s="144">
        <f ca="1">'F12_Including POA'!$G$46/12</f>
        <v>2.4992052573929752E-2</v>
      </c>
      <c r="F112" s="144">
        <f ca="1">'F12_Including POA'!$G$46/12</f>
        <v>2.4992052573929752E-2</v>
      </c>
      <c r="G112" s="144">
        <f ca="1">'F12_Including POA'!$G$46/12</f>
        <v>2.4992052573929752E-2</v>
      </c>
      <c r="H112" s="144">
        <f ca="1">'F12_Including POA'!$G$46/12</f>
        <v>2.4992052573929752E-2</v>
      </c>
      <c r="I112" s="144">
        <f ca="1">'F12_Including POA'!$G$46/12</f>
        <v>2.4992052573929752E-2</v>
      </c>
      <c r="J112" s="144">
        <f ca="1">'F12_Including POA'!$G$46/12</f>
        <v>2.4992052573929752E-2</v>
      </c>
      <c r="K112" s="144">
        <f ca="1">'F12_Including POA'!$G$46/12</f>
        <v>2.4992052573929752E-2</v>
      </c>
      <c r="L112" s="144">
        <f ca="1">'F12_Including POA'!$G$46/12</f>
        <v>2.4992052573929752E-2</v>
      </c>
      <c r="M112" s="144">
        <f ca="1">'F12_Including POA'!$G$46/12</f>
        <v>2.4992052573929752E-2</v>
      </c>
      <c r="N112" s="144">
        <f ca="1">'F12_Including POA'!$G$46/12</f>
        <v>2.4992052573929752E-2</v>
      </c>
      <c r="O112" s="144">
        <f ca="1">'F12_Including POA'!$G$46/12</f>
        <v>2.4992052573929752E-2</v>
      </c>
      <c r="P112" s="144">
        <f t="shared" ca="1" si="6"/>
        <v>0.29990463088715702</v>
      </c>
    </row>
    <row r="113" spans="2:16">
      <c r="B113" s="145" t="s">
        <v>602</v>
      </c>
      <c r="C113" s="151" t="s">
        <v>603</v>
      </c>
      <c r="D113" s="144">
        <f ca="1">'F12_Including POA'!$G$47/12</f>
        <v>1.2980796521351999E-2</v>
      </c>
      <c r="E113" s="144">
        <f ca="1">'F12_Including POA'!$G$47/12</f>
        <v>1.2980796521351999E-2</v>
      </c>
      <c r="F113" s="144">
        <f ca="1">'F12_Including POA'!$G$47/12</f>
        <v>1.2980796521351999E-2</v>
      </c>
      <c r="G113" s="144">
        <f ca="1">'F12_Including POA'!$G$47/12</f>
        <v>1.2980796521351999E-2</v>
      </c>
      <c r="H113" s="144">
        <f ca="1">'F12_Including POA'!$G$47/12</f>
        <v>1.2980796521351999E-2</v>
      </c>
      <c r="I113" s="144">
        <f ca="1">'F12_Including POA'!$G$47/12</f>
        <v>1.2980796521351999E-2</v>
      </c>
      <c r="J113" s="144">
        <f ca="1">'F12_Including POA'!$G$47/12</f>
        <v>1.2980796521351999E-2</v>
      </c>
      <c r="K113" s="144">
        <f ca="1">'F12_Including POA'!$G$47/12</f>
        <v>1.2980796521351999E-2</v>
      </c>
      <c r="L113" s="144">
        <f ca="1">'F12_Including POA'!$G$47/12</f>
        <v>1.2980796521351999E-2</v>
      </c>
      <c r="M113" s="144">
        <f ca="1">'F12_Including POA'!$G$47/12</f>
        <v>1.2980796521351999E-2</v>
      </c>
      <c r="N113" s="144">
        <f ca="1">'F12_Including POA'!$G$47/12</f>
        <v>1.2980796521351999E-2</v>
      </c>
      <c r="O113" s="144">
        <f ca="1">'F12_Including POA'!$G$47/12</f>
        <v>1.2980796521351999E-2</v>
      </c>
      <c r="P113" s="144">
        <f t="shared" ca="1" si="6"/>
        <v>0.15576955825622404</v>
      </c>
    </row>
    <row r="114" spans="2:16">
      <c r="B114" s="145" t="s">
        <v>604</v>
      </c>
      <c r="C114" s="151" t="s">
        <v>605</v>
      </c>
      <c r="D114" s="144">
        <f ca="1">'F12_Including POA'!$G$48/12</f>
        <v>1.3864004991155679E-2</v>
      </c>
      <c r="E114" s="144">
        <f ca="1">'F12_Including POA'!$G$48/12</f>
        <v>1.3864004991155679E-2</v>
      </c>
      <c r="F114" s="144">
        <f ca="1">'F12_Including POA'!$G$48/12</f>
        <v>1.3864004991155679E-2</v>
      </c>
      <c r="G114" s="144">
        <f ca="1">'F12_Including POA'!$G$48/12</f>
        <v>1.3864004991155679E-2</v>
      </c>
      <c r="H114" s="144">
        <f ca="1">'F12_Including POA'!$G$48/12</f>
        <v>1.3864004991155679E-2</v>
      </c>
      <c r="I114" s="144">
        <f ca="1">'F12_Including POA'!$G$48/12</f>
        <v>1.3864004991155679E-2</v>
      </c>
      <c r="J114" s="144">
        <f ca="1">'F12_Including POA'!$G$48/12</f>
        <v>1.3864004991155679E-2</v>
      </c>
      <c r="K114" s="144">
        <f ca="1">'F12_Including POA'!$G$48/12</f>
        <v>1.3864004991155679E-2</v>
      </c>
      <c r="L114" s="144">
        <f ca="1">'F12_Including POA'!$G$48/12</f>
        <v>1.3864004991155679E-2</v>
      </c>
      <c r="M114" s="144">
        <f ca="1">'F12_Including POA'!$G$48/12</f>
        <v>1.3864004991155679E-2</v>
      </c>
      <c r="N114" s="144">
        <f ca="1">'F12_Including POA'!$G$48/12</f>
        <v>1.3864004991155679E-2</v>
      </c>
      <c r="O114" s="144">
        <f ca="1">'F12_Including POA'!$G$48/12</f>
        <v>1.3864004991155679E-2</v>
      </c>
      <c r="P114" s="144">
        <f t="shared" ca="1" si="6"/>
        <v>0.16636805989386816</v>
      </c>
    </row>
    <row r="115" spans="2:16">
      <c r="B115" s="145" t="s">
        <v>606</v>
      </c>
      <c r="C115" s="151" t="s">
        <v>607</v>
      </c>
      <c r="D115" s="144">
        <f ca="1">'F12_Including POA'!$G$49/12</f>
        <v>3.2276902158153063E-2</v>
      </c>
      <c r="E115" s="144">
        <f ca="1">'F12_Including POA'!$G$49/12</f>
        <v>3.2276902158153063E-2</v>
      </c>
      <c r="F115" s="144">
        <f ca="1">'F12_Including POA'!$G$49/12</f>
        <v>3.2276902158153063E-2</v>
      </c>
      <c r="G115" s="144">
        <f ca="1">'F12_Including POA'!$G$49/12</f>
        <v>3.2276902158153063E-2</v>
      </c>
      <c r="H115" s="144">
        <f ca="1">'F12_Including POA'!$G$49/12</f>
        <v>3.2276902158153063E-2</v>
      </c>
      <c r="I115" s="144">
        <f ca="1">'F12_Including POA'!$G$49/12</f>
        <v>3.2276902158153063E-2</v>
      </c>
      <c r="J115" s="144">
        <f ca="1">'F12_Including POA'!$G$49/12</f>
        <v>3.2276902158153063E-2</v>
      </c>
      <c r="K115" s="144">
        <f ca="1">'F12_Including POA'!$G$49/12</f>
        <v>3.2276902158153063E-2</v>
      </c>
      <c r="L115" s="144">
        <f ca="1">'F12_Including POA'!$G$49/12</f>
        <v>3.2276902158153063E-2</v>
      </c>
      <c r="M115" s="144">
        <f ca="1">'F12_Including POA'!$G$49/12</f>
        <v>3.2276902158153063E-2</v>
      </c>
      <c r="N115" s="144">
        <f ca="1">'F12_Including POA'!$G$49/12</f>
        <v>3.2276902158153063E-2</v>
      </c>
      <c r="O115" s="144">
        <f ca="1">'F12_Including POA'!$G$49/12</f>
        <v>3.2276902158153063E-2</v>
      </c>
      <c r="P115" s="144">
        <f t="shared" ca="1" si="6"/>
        <v>0.38732282589783668</v>
      </c>
    </row>
    <row r="116" spans="2:16">
      <c r="B116" s="145" t="s">
        <v>608</v>
      </c>
      <c r="C116" s="151" t="s">
        <v>609</v>
      </c>
      <c r="D116" s="144">
        <f ca="1">'F12_Including POA'!$G$50/12</f>
        <v>4.2581674549797117E-2</v>
      </c>
      <c r="E116" s="144">
        <f ca="1">'F12_Including POA'!$G$50/12</f>
        <v>4.2581674549797117E-2</v>
      </c>
      <c r="F116" s="144">
        <f ca="1">'F12_Including POA'!$G$50/12</f>
        <v>4.2581674549797117E-2</v>
      </c>
      <c r="G116" s="144">
        <f ca="1">'F12_Including POA'!$G$50/12</f>
        <v>4.2581674549797117E-2</v>
      </c>
      <c r="H116" s="144">
        <f ca="1">'F12_Including POA'!$G$50/12</f>
        <v>4.2581674549797117E-2</v>
      </c>
      <c r="I116" s="144">
        <f ca="1">'F12_Including POA'!$G$50/12</f>
        <v>4.2581674549797117E-2</v>
      </c>
      <c r="J116" s="144">
        <f ca="1">'F12_Including POA'!$G$50/12</f>
        <v>4.2581674549797117E-2</v>
      </c>
      <c r="K116" s="144">
        <f ca="1">'F12_Including POA'!$G$50/12</f>
        <v>4.2581674549797117E-2</v>
      </c>
      <c r="L116" s="144">
        <f ca="1">'F12_Including POA'!$G$50/12</f>
        <v>4.2581674549797117E-2</v>
      </c>
      <c r="M116" s="144">
        <f ca="1">'F12_Including POA'!$G$50/12</f>
        <v>4.2581674549797117E-2</v>
      </c>
      <c r="N116" s="144">
        <f ca="1">'F12_Including POA'!$G$50/12</f>
        <v>4.2581674549797117E-2</v>
      </c>
      <c r="O116" s="144">
        <f ca="1">'F12_Including POA'!$G$50/12</f>
        <v>4.2581674549797117E-2</v>
      </c>
      <c r="P116" s="144">
        <f t="shared" ca="1" si="6"/>
        <v>0.51098009459756544</v>
      </c>
    </row>
    <row r="117" spans="2:16">
      <c r="B117" s="145" t="s">
        <v>610</v>
      </c>
      <c r="C117" s="151" t="s">
        <v>611</v>
      </c>
      <c r="D117" s="144">
        <f ca="1">'F12_Including POA'!$G$51/12</f>
        <v>2.0150517301303964E-2</v>
      </c>
      <c r="E117" s="144">
        <f ca="1">'F12_Including POA'!$G$51/12</f>
        <v>2.0150517301303964E-2</v>
      </c>
      <c r="F117" s="144">
        <f ca="1">'F12_Including POA'!$G$51/12</f>
        <v>2.0150517301303964E-2</v>
      </c>
      <c r="G117" s="144">
        <f ca="1">'F12_Including POA'!$G$51/12</f>
        <v>2.0150517301303964E-2</v>
      </c>
      <c r="H117" s="144">
        <f ca="1">'F12_Including POA'!$G$51/12</f>
        <v>2.0150517301303964E-2</v>
      </c>
      <c r="I117" s="144">
        <f ca="1">'F12_Including POA'!$G$51/12</f>
        <v>2.0150517301303964E-2</v>
      </c>
      <c r="J117" s="144">
        <f ca="1">'F12_Including POA'!$G$51/12</f>
        <v>2.0150517301303964E-2</v>
      </c>
      <c r="K117" s="144">
        <f ca="1">'F12_Including POA'!$G$51/12</f>
        <v>2.0150517301303964E-2</v>
      </c>
      <c r="L117" s="144">
        <f ca="1">'F12_Including POA'!$G$51/12</f>
        <v>2.0150517301303964E-2</v>
      </c>
      <c r="M117" s="144">
        <f ca="1">'F12_Including POA'!$G$51/12</f>
        <v>2.0150517301303964E-2</v>
      </c>
      <c r="N117" s="144">
        <f ca="1">'F12_Including POA'!$G$51/12</f>
        <v>2.0150517301303964E-2</v>
      </c>
      <c r="O117" s="144">
        <f ca="1">'F12_Including POA'!$G$51/12</f>
        <v>2.0150517301303964E-2</v>
      </c>
      <c r="P117" s="144">
        <f t="shared" ca="1" si="6"/>
        <v>0.24180620761564756</v>
      </c>
    </row>
    <row r="118" spans="2:16">
      <c r="B118" s="145" t="s">
        <v>612</v>
      </c>
      <c r="C118" s="151" t="s">
        <v>613</v>
      </c>
      <c r="D118" s="144">
        <f ca="1">'F12_Including POA'!$G$52/12</f>
        <v>1.3516101813989283E-2</v>
      </c>
      <c r="E118" s="144">
        <f ca="1">'F12_Including POA'!$G$52/12</f>
        <v>1.3516101813989283E-2</v>
      </c>
      <c r="F118" s="144">
        <f ca="1">'F12_Including POA'!$G$52/12</f>
        <v>1.3516101813989283E-2</v>
      </c>
      <c r="G118" s="144">
        <f ca="1">'F12_Including POA'!$G$52/12</f>
        <v>1.3516101813989283E-2</v>
      </c>
      <c r="H118" s="144">
        <f ca="1">'F12_Including POA'!$G$52/12</f>
        <v>1.3516101813989283E-2</v>
      </c>
      <c r="I118" s="144">
        <f ca="1">'F12_Including POA'!$G$52/12</f>
        <v>1.3516101813989283E-2</v>
      </c>
      <c r="J118" s="144">
        <f ca="1">'F12_Including POA'!$G$52/12</f>
        <v>1.3516101813989283E-2</v>
      </c>
      <c r="K118" s="144">
        <f ca="1">'F12_Including POA'!$G$52/12</f>
        <v>1.3516101813989283E-2</v>
      </c>
      <c r="L118" s="144">
        <f ca="1">'F12_Including POA'!$G$52/12</f>
        <v>1.3516101813989283E-2</v>
      </c>
      <c r="M118" s="144">
        <f ca="1">'F12_Including POA'!$G$52/12</f>
        <v>1.3516101813989283E-2</v>
      </c>
      <c r="N118" s="144">
        <f ca="1">'F12_Including POA'!$G$52/12</f>
        <v>1.3516101813989283E-2</v>
      </c>
      <c r="O118" s="144">
        <f ca="1">'F12_Including POA'!$G$52/12</f>
        <v>1.3516101813989283E-2</v>
      </c>
      <c r="P118" s="144">
        <f t="shared" ca="1" si="6"/>
        <v>0.16219322176787143</v>
      </c>
    </row>
    <row r="119" spans="2:16">
      <c r="B119" s="145" t="s">
        <v>614</v>
      </c>
      <c r="C119" s="151" t="s">
        <v>615</v>
      </c>
      <c r="D119" s="144">
        <f ca="1">'F12_Including POA'!$G$53/12</f>
        <v>5.3084271490392854E-3</v>
      </c>
      <c r="E119" s="144">
        <f ca="1">'F12_Including POA'!$G$53/12</f>
        <v>5.3084271490392854E-3</v>
      </c>
      <c r="F119" s="144">
        <f ca="1">'F12_Including POA'!$G$53/12</f>
        <v>5.3084271490392854E-3</v>
      </c>
      <c r="G119" s="144">
        <f ca="1">'F12_Including POA'!$G$53/12</f>
        <v>5.3084271490392854E-3</v>
      </c>
      <c r="H119" s="144">
        <f ca="1">'F12_Including POA'!$G$53/12</f>
        <v>5.3084271490392854E-3</v>
      </c>
      <c r="I119" s="144">
        <f ca="1">'F12_Including POA'!$G$53/12</f>
        <v>5.3084271490392854E-3</v>
      </c>
      <c r="J119" s="144">
        <f ca="1">'F12_Including POA'!$G$53/12</f>
        <v>5.3084271490392854E-3</v>
      </c>
      <c r="K119" s="144">
        <f ca="1">'F12_Including POA'!$G$53/12</f>
        <v>5.3084271490392854E-3</v>
      </c>
      <c r="L119" s="144">
        <f ca="1">'F12_Including POA'!$G$53/12</f>
        <v>5.3084271490392854E-3</v>
      </c>
      <c r="M119" s="144">
        <f ca="1">'F12_Including POA'!$G$53/12</f>
        <v>5.3084271490392854E-3</v>
      </c>
      <c r="N119" s="144">
        <f ca="1">'F12_Including POA'!$G$53/12</f>
        <v>5.3084271490392854E-3</v>
      </c>
      <c r="O119" s="144">
        <f ca="1">'F12_Including POA'!$G$53/12</f>
        <v>5.3084271490392854E-3</v>
      </c>
      <c r="P119" s="144">
        <f t="shared" ca="1" si="6"/>
        <v>6.3701125788471424E-2</v>
      </c>
    </row>
    <row r="120" spans="2:16">
      <c r="B120" s="145" t="s">
        <v>616</v>
      </c>
      <c r="C120" s="151" t="s">
        <v>617</v>
      </c>
      <c r="D120" s="144">
        <f ca="1">'F12_Including POA'!$G$54/12</f>
        <v>1.5923813910701265E-3</v>
      </c>
      <c r="E120" s="144">
        <f ca="1">'F12_Including POA'!$G$54/12</f>
        <v>1.5923813910701265E-3</v>
      </c>
      <c r="F120" s="144">
        <f ca="1">'F12_Including POA'!$G$54/12</f>
        <v>1.5923813910701265E-3</v>
      </c>
      <c r="G120" s="144">
        <f ca="1">'F12_Including POA'!$G$54/12</f>
        <v>1.5923813910701265E-3</v>
      </c>
      <c r="H120" s="144">
        <f ca="1">'F12_Including POA'!$G$54/12</f>
        <v>1.5923813910701265E-3</v>
      </c>
      <c r="I120" s="144">
        <f ca="1">'F12_Including POA'!$G$54/12</f>
        <v>1.5923813910701265E-3</v>
      </c>
      <c r="J120" s="144">
        <f ca="1">'F12_Including POA'!$G$54/12</f>
        <v>1.5923813910701265E-3</v>
      </c>
      <c r="K120" s="144">
        <f ca="1">'F12_Including POA'!$G$54/12</f>
        <v>1.5923813910701265E-3</v>
      </c>
      <c r="L120" s="144">
        <f ca="1">'F12_Including POA'!$G$54/12</f>
        <v>1.5923813910701265E-3</v>
      </c>
      <c r="M120" s="144">
        <f ca="1">'F12_Including POA'!$G$54/12</f>
        <v>1.5923813910701265E-3</v>
      </c>
      <c r="N120" s="144">
        <f ca="1">'F12_Including POA'!$G$54/12</f>
        <v>1.5923813910701265E-3</v>
      </c>
      <c r="O120" s="144">
        <f ca="1">'F12_Including POA'!$G$54/12</f>
        <v>1.5923813910701265E-3</v>
      </c>
      <c r="P120" s="144">
        <f t="shared" ca="1" si="6"/>
        <v>1.9108576692841522E-2</v>
      </c>
    </row>
    <row r="121" spans="2:16">
      <c r="B121" s="145" t="s">
        <v>618</v>
      </c>
      <c r="C121" s="151" t="s">
        <v>619</v>
      </c>
      <c r="D121" s="144">
        <f ca="1">'F12_Including POA'!$G$55/12</f>
        <v>7.8543623146570082E-2</v>
      </c>
      <c r="E121" s="144">
        <f ca="1">'F12_Including POA'!$G$55/12</f>
        <v>7.8543623146570082E-2</v>
      </c>
      <c r="F121" s="144">
        <f ca="1">'F12_Including POA'!$G$55/12</f>
        <v>7.8543623146570082E-2</v>
      </c>
      <c r="G121" s="144">
        <f ca="1">'F12_Including POA'!$G$55/12</f>
        <v>7.8543623146570082E-2</v>
      </c>
      <c r="H121" s="144">
        <f ca="1">'F12_Including POA'!$G$55/12</f>
        <v>7.8543623146570082E-2</v>
      </c>
      <c r="I121" s="144">
        <f ca="1">'F12_Including POA'!$G$55/12</f>
        <v>7.8543623146570082E-2</v>
      </c>
      <c r="J121" s="144">
        <f ca="1">'F12_Including POA'!$G$55/12</f>
        <v>7.8543623146570082E-2</v>
      </c>
      <c r="K121" s="144">
        <f ca="1">'F12_Including POA'!$G$55/12</f>
        <v>7.8543623146570082E-2</v>
      </c>
      <c r="L121" s="144">
        <f ca="1">'F12_Including POA'!$G$55/12</f>
        <v>7.8543623146570082E-2</v>
      </c>
      <c r="M121" s="144">
        <f ca="1">'F12_Including POA'!$G$55/12</f>
        <v>7.8543623146570082E-2</v>
      </c>
      <c r="N121" s="144">
        <f ca="1">'F12_Including POA'!$G$55/12</f>
        <v>7.8543623146570082E-2</v>
      </c>
      <c r="O121" s="144">
        <f ca="1">'F12_Including POA'!$G$55/12</f>
        <v>7.8543623146570082E-2</v>
      </c>
      <c r="P121" s="144">
        <f t="shared" ca="1" si="6"/>
        <v>0.94252347775884082</v>
      </c>
    </row>
    <row r="122" spans="2:16">
      <c r="B122" s="145"/>
      <c r="C122" s="151" t="s">
        <v>620</v>
      </c>
      <c r="D122" s="144">
        <f ca="1">'F12_Including POA'!$G$56/12</f>
        <v>3.7712316942605711E-2</v>
      </c>
      <c r="E122" s="144">
        <f ca="1">'F12_Including POA'!$G$56/12</f>
        <v>3.7712316942605711E-2</v>
      </c>
      <c r="F122" s="144">
        <f ca="1">'F12_Including POA'!$G$56/12</f>
        <v>3.7712316942605711E-2</v>
      </c>
      <c r="G122" s="144">
        <f ca="1">'F12_Including POA'!$G$56/12</f>
        <v>3.7712316942605711E-2</v>
      </c>
      <c r="H122" s="144">
        <f ca="1">'F12_Including POA'!$G$56/12</f>
        <v>3.7712316942605711E-2</v>
      </c>
      <c r="I122" s="144">
        <f ca="1">'F12_Including POA'!$G$56/12</f>
        <v>3.7712316942605711E-2</v>
      </c>
      <c r="J122" s="144">
        <f ca="1">'F12_Including POA'!$G$56/12</f>
        <v>3.7712316942605711E-2</v>
      </c>
      <c r="K122" s="144">
        <f ca="1">'F12_Including POA'!$G$56/12</f>
        <v>3.7712316942605711E-2</v>
      </c>
      <c r="L122" s="144">
        <f ca="1">'F12_Including POA'!$G$56/12</f>
        <v>3.7712316942605711E-2</v>
      </c>
      <c r="M122" s="144">
        <f ca="1">'F12_Including POA'!$G$56/12</f>
        <v>3.7712316942605711E-2</v>
      </c>
      <c r="N122" s="144">
        <f ca="1">'F12_Including POA'!$G$56/12</f>
        <v>3.7712316942605711E-2</v>
      </c>
      <c r="O122" s="144">
        <f ca="1">'F12_Including POA'!$G$56/12</f>
        <v>3.7712316942605711E-2</v>
      </c>
      <c r="P122" s="144">
        <f t="shared" ca="1" si="6"/>
        <v>0.45254780331126843</v>
      </c>
    </row>
    <row r="123" spans="2:16">
      <c r="B123" s="145"/>
      <c r="C123" s="151" t="s">
        <v>621</v>
      </c>
      <c r="D123" s="144">
        <f ca="1">'F12_Including POA'!$G$57/12</f>
        <v>2.6408241843971614E-2</v>
      </c>
      <c r="E123" s="144">
        <f ca="1">'F12_Including POA'!$G$57/12</f>
        <v>2.6408241843971614E-2</v>
      </c>
      <c r="F123" s="144">
        <f ca="1">'F12_Including POA'!$G$57/12</f>
        <v>2.6408241843971614E-2</v>
      </c>
      <c r="G123" s="144">
        <f ca="1">'F12_Including POA'!$G$57/12</f>
        <v>2.6408241843971614E-2</v>
      </c>
      <c r="H123" s="144">
        <f ca="1">'F12_Including POA'!$G$57/12</f>
        <v>2.6408241843971614E-2</v>
      </c>
      <c r="I123" s="144">
        <f ca="1">'F12_Including POA'!$G$57/12</f>
        <v>2.6408241843971614E-2</v>
      </c>
      <c r="J123" s="144">
        <f ca="1">'F12_Including POA'!$G$57/12</f>
        <v>2.6408241843971614E-2</v>
      </c>
      <c r="K123" s="144">
        <f ca="1">'F12_Including POA'!$G$57/12</f>
        <v>2.6408241843971614E-2</v>
      </c>
      <c r="L123" s="144">
        <f ca="1">'F12_Including POA'!$G$57/12</f>
        <v>2.6408241843971614E-2</v>
      </c>
      <c r="M123" s="144">
        <f ca="1">'F12_Including POA'!$G$57/12</f>
        <v>2.6408241843971614E-2</v>
      </c>
      <c r="N123" s="144">
        <f ca="1">'F12_Including POA'!$G$57/12</f>
        <v>2.6408241843971614E-2</v>
      </c>
      <c r="O123" s="144">
        <f ca="1">'F12_Including POA'!$G$57/12</f>
        <v>2.6408241843971614E-2</v>
      </c>
      <c r="P123" s="144">
        <f t="shared" ca="1" si="6"/>
        <v>0.31689890212765937</v>
      </c>
    </row>
    <row r="124" spans="2:16">
      <c r="B124" s="145"/>
      <c r="C124" s="151" t="s">
        <v>622</v>
      </c>
      <c r="D124" s="144">
        <f ca="1">'F12_Including POA'!$G$58/12</f>
        <v>4.9725459095151768E-2</v>
      </c>
      <c r="E124" s="144">
        <f ca="1">'F12_Including POA'!$G$58/12</f>
        <v>4.9725459095151768E-2</v>
      </c>
      <c r="F124" s="144">
        <f ca="1">'F12_Including POA'!$G$58/12</f>
        <v>4.9725459095151768E-2</v>
      </c>
      <c r="G124" s="144">
        <f ca="1">'F12_Including POA'!$G$58/12</f>
        <v>4.9725459095151768E-2</v>
      </c>
      <c r="H124" s="144">
        <f ca="1">'F12_Including POA'!$G$58/12</f>
        <v>4.9725459095151768E-2</v>
      </c>
      <c r="I124" s="144">
        <f ca="1">'F12_Including POA'!$G$58/12</f>
        <v>4.9725459095151768E-2</v>
      </c>
      <c r="J124" s="144">
        <f ca="1">'F12_Including POA'!$G$58/12</f>
        <v>4.9725459095151768E-2</v>
      </c>
      <c r="K124" s="144">
        <f ca="1">'F12_Including POA'!$G$58/12</f>
        <v>4.9725459095151768E-2</v>
      </c>
      <c r="L124" s="144">
        <f ca="1">'F12_Including POA'!$G$58/12</f>
        <v>4.9725459095151768E-2</v>
      </c>
      <c r="M124" s="144">
        <f ca="1">'F12_Including POA'!$G$58/12</f>
        <v>4.9725459095151768E-2</v>
      </c>
      <c r="N124" s="144">
        <f ca="1">'F12_Including POA'!$G$58/12</f>
        <v>4.9725459095151768E-2</v>
      </c>
      <c r="O124" s="144">
        <f ca="1">'F12_Including POA'!$G$58/12</f>
        <v>4.9725459095151768E-2</v>
      </c>
      <c r="P124" s="144">
        <f t="shared" ca="1" si="6"/>
        <v>0.59670550914182119</v>
      </c>
    </row>
    <row r="125" spans="2:16">
      <c r="B125" s="145"/>
      <c r="C125" s="146"/>
      <c r="D125" s="144">
        <f ca="1">'F12_Including POA'!$G$59/12</f>
        <v>4.9725459095151768E-2</v>
      </c>
      <c r="E125" s="144">
        <f ca="1">'F12_Including POA'!$G$59/12</f>
        <v>4.9725459095151768E-2</v>
      </c>
      <c r="F125" s="144">
        <f ca="1">'F12_Including POA'!$G$59/12</f>
        <v>4.9725459095151768E-2</v>
      </c>
      <c r="G125" s="144">
        <f ca="1">'F12_Including POA'!$G$59/12</f>
        <v>4.9725459095151768E-2</v>
      </c>
      <c r="H125" s="144">
        <f ca="1">'F12_Including POA'!$G$59/12</f>
        <v>4.9725459095151768E-2</v>
      </c>
      <c r="I125" s="144">
        <f ca="1">'F12_Including POA'!$G$59/12</f>
        <v>4.9725459095151768E-2</v>
      </c>
      <c r="J125" s="144">
        <f ca="1">'F12_Including POA'!$G$59/12</f>
        <v>4.9725459095151768E-2</v>
      </c>
      <c r="K125" s="144">
        <f ca="1">'F12_Including POA'!$G$59/12</f>
        <v>4.9725459095151768E-2</v>
      </c>
      <c r="L125" s="144">
        <f ca="1">'F12_Including POA'!$G$59/12</f>
        <v>4.9725459095151768E-2</v>
      </c>
      <c r="M125" s="144">
        <f ca="1">'F12_Including POA'!$G$59/12</f>
        <v>4.9725459095151768E-2</v>
      </c>
      <c r="N125" s="144">
        <f ca="1">'F12_Including POA'!$G$59/12</f>
        <v>4.9725459095151768E-2</v>
      </c>
      <c r="O125" s="144">
        <f ca="1">'F12_Including POA'!$G$59/12</f>
        <v>4.9725459095151768E-2</v>
      </c>
      <c r="P125" s="144">
        <f t="shared" ca="1" si="6"/>
        <v>0.59670550914182119</v>
      </c>
    </row>
    <row r="126" spans="2:16">
      <c r="B126" s="142">
        <v>2</v>
      </c>
      <c r="C126" s="143" t="s">
        <v>623</v>
      </c>
      <c r="D126" s="144"/>
      <c r="E126" s="144"/>
      <c r="F126" s="144"/>
      <c r="G126" s="144"/>
      <c r="H126" s="144"/>
      <c r="I126" s="144"/>
      <c r="J126" s="144"/>
      <c r="K126" s="144"/>
      <c r="L126" s="144"/>
      <c r="M126" s="144"/>
      <c r="N126" s="144"/>
      <c r="O126" s="144"/>
      <c r="P126" s="144"/>
    </row>
    <row r="127" spans="2:16">
      <c r="B127" s="145">
        <v>2.1</v>
      </c>
      <c r="C127" s="146"/>
      <c r="D127" s="144">
        <f>'F12_Including POA'!$G$61/12</f>
        <v>0</v>
      </c>
      <c r="E127" s="144"/>
      <c r="F127" s="144"/>
      <c r="G127" s="144"/>
      <c r="H127" s="144"/>
      <c r="I127" s="144"/>
      <c r="J127" s="144"/>
      <c r="K127" s="144"/>
      <c r="L127" s="144"/>
      <c r="M127" s="144"/>
      <c r="N127" s="144"/>
      <c r="O127" s="144"/>
      <c r="P127" s="144"/>
    </row>
    <row r="128" spans="2:16">
      <c r="B128" s="145">
        <v>2.2000000000000002</v>
      </c>
      <c r="C128" s="146"/>
      <c r="D128" s="144">
        <f>'F12_Including POA'!$G$62/12</f>
        <v>0</v>
      </c>
      <c r="E128" s="144"/>
      <c r="F128" s="144"/>
      <c r="G128" s="144"/>
      <c r="H128" s="144"/>
      <c r="I128" s="144"/>
      <c r="J128" s="144"/>
      <c r="K128" s="144"/>
      <c r="L128" s="144"/>
      <c r="M128" s="144"/>
      <c r="N128" s="144"/>
      <c r="O128" s="144"/>
      <c r="P128" s="144"/>
    </row>
    <row r="129" spans="2:22">
      <c r="B129" s="142"/>
      <c r="C129" s="146" t="s">
        <v>629</v>
      </c>
      <c r="D129" s="144"/>
      <c r="E129" s="144"/>
      <c r="F129" s="144"/>
      <c r="G129" s="144"/>
      <c r="H129" s="144"/>
      <c r="I129" s="144"/>
      <c r="J129" s="144"/>
      <c r="K129" s="144"/>
      <c r="L129" s="144"/>
      <c r="M129" s="144"/>
      <c r="N129" s="144"/>
      <c r="O129" s="144"/>
      <c r="P129" s="144"/>
    </row>
    <row r="130" spans="2:22">
      <c r="B130" s="142">
        <v>3</v>
      </c>
      <c r="C130" s="143" t="s">
        <v>624</v>
      </c>
      <c r="D130" s="144">
        <v>0</v>
      </c>
      <c r="E130" s="144">
        <v>0</v>
      </c>
      <c r="F130" s="144">
        <v>0</v>
      </c>
      <c r="G130" s="144">
        <v>0</v>
      </c>
      <c r="H130" s="144">
        <v>0</v>
      </c>
      <c r="I130" s="144">
        <v>0</v>
      </c>
      <c r="J130" s="144">
        <v>0</v>
      </c>
      <c r="K130" s="144">
        <v>0</v>
      </c>
      <c r="L130" s="144">
        <v>0</v>
      </c>
      <c r="M130" s="144">
        <v>0</v>
      </c>
      <c r="N130" s="144">
        <v>0</v>
      </c>
      <c r="O130" s="144">
        <v>0</v>
      </c>
      <c r="P130" s="144">
        <v>0</v>
      </c>
    </row>
    <row r="131" spans="2:22">
      <c r="B131" s="142"/>
      <c r="C131" s="143" t="s">
        <v>348</v>
      </c>
      <c r="D131" s="144"/>
      <c r="E131" s="144"/>
      <c r="F131" s="144"/>
      <c r="G131" s="144"/>
      <c r="H131" s="144"/>
      <c r="I131" s="144"/>
      <c r="J131" s="144"/>
      <c r="K131" s="144"/>
      <c r="L131" s="144"/>
      <c r="M131" s="144"/>
      <c r="N131" s="144"/>
      <c r="O131" s="144"/>
      <c r="P131" s="144"/>
    </row>
    <row r="132" spans="2:22">
      <c r="B132" s="147">
        <v>4</v>
      </c>
      <c r="C132" s="148" t="s">
        <v>625</v>
      </c>
      <c r="D132" s="324">
        <f t="shared" ref="D132:P132" ca="1" si="7">SUM(D107:D131)</f>
        <v>79.008668530081067</v>
      </c>
      <c r="E132" s="324">
        <f t="shared" ca="1" si="7"/>
        <v>79.008668530081067</v>
      </c>
      <c r="F132" s="324">
        <f t="shared" ca="1" si="7"/>
        <v>79.008668530081067</v>
      </c>
      <c r="G132" s="324">
        <f t="shared" ca="1" si="7"/>
        <v>79.008668530081067</v>
      </c>
      <c r="H132" s="324">
        <f t="shared" ca="1" si="7"/>
        <v>79.008668530081067</v>
      </c>
      <c r="I132" s="324">
        <f t="shared" ca="1" si="7"/>
        <v>79.008668530081067</v>
      </c>
      <c r="J132" s="324">
        <f t="shared" ca="1" si="7"/>
        <v>79.008668530081067</v>
      </c>
      <c r="K132" s="324">
        <f t="shared" ca="1" si="7"/>
        <v>79.008668530081067</v>
      </c>
      <c r="L132" s="324">
        <f t="shared" ca="1" si="7"/>
        <v>79.008668530081067</v>
      </c>
      <c r="M132" s="324">
        <f t="shared" ca="1" si="7"/>
        <v>79.008668530081067</v>
      </c>
      <c r="N132" s="324">
        <f t="shared" ca="1" si="7"/>
        <v>79.008668530081067</v>
      </c>
      <c r="O132" s="324">
        <f t="shared" ca="1" si="7"/>
        <v>79.008668530081067</v>
      </c>
      <c r="P132" s="324">
        <f t="shared" ca="1" si="7"/>
        <v>948.10402236097264</v>
      </c>
      <c r="S132" s="727"/>
      <c r="T132" s="728"/>
      <c r="U132" s="727"/>
      <c r="V132" s="727"/>
    </row>
    <row r="135" spans="2:22">
      <c r="B135" s="8" t="s">
        <v>632</v>
      </c>
      <c r="C135" s="7"/>
      <c r="G135" s="7"/>
      <c r="I135" s="8"/>
      <c r="L135" s="8"/>
    </row>
    <row r="136" spans="2:22">
      <c r="C136" s="7"/>
      <c r="G136" s="7"/>
      <c r="I136" s="8"/>
      <c r="L136" s="8"/>
      <c r="P136" s="8" t="s">
        <v>52</v>
      </c>
    </row>
    <row r="137" spans="2:22">
      <c r="B137" s="140" t="s">
        <v>576</v>
      </c>
      <c r="C137" s="140" t="s">
        <v>53</v>
      </c>
      <c r="D137" s="141" t="s">
        <v>577</v>
      </c>
      <c r="E137" s="141" t="s">
        <v>578</v>
      </c>
      <c r="F137" s="141" t="s">
        <v>579</v>
      </c>
      <c r="G137" s="141" t="s">
        <v>580</v>
      </c>
      <c r="H137" s="141" t="s">
        <v>581</v>
      </c>
      <c r="I137" s="141" t="s">
        <v>582</v>
      </c>
      <c r="J137" s="141" t="s">
        <v>583</v>
      </c>
      <c r="K137" s="141" t="s">
        <v>584</v>
      </c>
      <c r="L137" s="141" t="s">
        <v>585</v>
      </c>
      <c r="M137" s="141" t="s">
        <v>586</v>
      </c>
      <c r="N137" s="141" t="s">
        <v>587</v>
      </c>
      <c r="O137" s="141" t="s">
        <v>588</v>
      </c>
      <c r="P137" s="141" t="s">
        <v>219</v>
      </c>
    </row>
    <row r="138" spans="2:22">
      <c r="B138" s="142">
        <v>1</v>
      </c>
      <c r="C138" s="143" t="s">
        <v>589</v>
      </c>
      <c r="E138" s="144"/>
      <c r="F138" s="144"/>
      <c r="G138" s="144"/>
      <c r="H138" s="144"/>
      <c r="I138" s="144"/>
      <c r="J138" s="144"/>
      <c r="K138" s="144"/>
      <c r="L138" s="144"/>
      <c r="M138" s="144"/>
      <c r="N138" s="144"/>
      <c r="O138" s="144"/>
      <c r="P138" s="144"/>
    </row>
    <row r="139" spans="2:22">
      <c r="B139" s="145" t="s">
        <v>590</v>
      </c>
      <c r="C139" s="151" t="s">
        <v>591</v>
      </c>
      <c r="D139" s="144">
        <f ca="1">'F12_Including POA'!$H$41/12</f>
        <v>67.661587438391294</v>
      </c>
      <c r="E139" s="144">
        <f ca="1">'F12_Including POA'!$H$41/12</f>
        <v>67.661587438391294</v>
      </c>
      <c r="F139" s="144">
        <f ca="1">'F12_Including POA'!$H$41/12</f>
        <v>67.661587438391294</v>
      </c>
      <c r="G139" s="144">
        <f ca="1">'F12_Including POA'!$H$41/12</f>
        <v>67.661587438391294</v>
      </c>
      <c r="H139" s="144">
        <f ca="1">'F12_Including POA'!$H$41/12</f>
        <v>67.661587438391294</v>
      </c>
      <c r="I139" s="144">
        <f ca="1">'F12_Including POA'!$H$41/12</f>
        <v>67.661587438391294</v>
      </c>
      <c r="J139" s="144">
        <f ca="1">'F12_Including POA'!$H$41/12</f>
        <v>67.661587438391294</v>
      </c>
      <c r="K139" s="144">
        <f ca="1">'F12_Including POA'!$H$41/12</f>
        <v>67.661587438391294</v>
      </c>
      <c r="L139" s="144">
        <f ca="1">'F12_Including POA'!$H$41/12</f>
        <v>67.661587438391294</v>
      </c>
      <c r="M139" s="144">
        <f ca="1">'F12_Including POA'!$H$41/12</f>
        <v>67.661587438391294</v>
      </c>
      <c r="N139" s="144">
        <f ca="1">'F12_Including POA'!$H$41/12</f>
        <v>67.661587438391294</v>
      </c>
      <c r="O139" s="144">
        <f ca="1">'F12_Including POA'!$H$41/12</f>
        <v>67.661587438391294</v>
      </c>
      <c r="P139" s="144">
        <f t="shared" ref="P139:P157" ca="1" si="8">SUM(D139:O139)</f>
        <v>811.93904926069547</v>
      </c>
    </row>
    <row r="140" spans="2:22">
      <c r="B140" s="145" t="s">
        <v>592</v>
      </c>
      <c r="C140" s="151" t="s">
        <v>593</v>
      </c>
      <c r="D140" s="144">
        <f ca="1">'F12_Including POA'!$H$42/12</f>
        <v>2.7830388422227545</v>
      </c>
      <c r="E140" s="144">
        <f ca="1">'F12_Including POA'!$H$42/12</f>
        <v>2.7830388422227545</v>
      </c>
      <c r="F140" s="144">
        <f ca="1">'F12_Including POA'!$H$42/12</f>
        <v>2.7830388422227545</v>
      </c>
      <c r="G140" s="144">
        <f ca="1">'F12_Including POA'!$H$42/12</f>
        <v>2.7830388422227545</v>
      </c>
      <c r="H140" s="144">
        <f ca="1">'F12_Including POA'!$H$42/12</f>
        <v>2.7830388422227545</v>
      </c>
      <c r="I140" s="144">
        <f ca="1">'F12_Including POA'!$H$42/12</f>
        <v>2.7830388422227545</v>
      </c>
      <c r="J140" s="144">
        <f ca="1">'F12_Including POA'!$H$42/12</f>
        <v>2.7830388422227545</v>
      </c>
      <c r="K140" s="144">
        <f ca="1">'F12_Including POA'!$H$42/12</f>
        <v>2.7830388422227545</v>
      </c>
      <c r="L140" s="144">
        <f ca="1">'F12_Including POA'!$H$42/12</f>
        <v>2.7830388422227545</v>
      </c>
      <c r="M140" s="144">
        <f ca="1">'F12_Including POA'!$H$42/12</f>
        <v>2.7830388422227545</v>
      </c>
      <c r="N140" s="144">
        <f ca="1">'F12_Including POA'!$H$42/12</f>
        <v>2.7830388422227545</v>
      </c>
      <c r="O140" s="144">
        <f ca="1">'F12_Including POA'!$H$42/12</f>
        <v>2.7830388422227545</v>
      </c>
      <c r="P140" s="144">
        <f t="shared" ca="1" si="8"/>
        <v>33.396466106673053</v>
      </c>
    </row>
    <row r="141" spans="2:22">
      <c r="B141" s="145" t="s">
        <v>594</v>
      </c>
      <c r="C141" s="151" t="s">
        <v>595</v>
      </c>
      <c r="D141" s="144">
        <f ca="1">'F12_Including POA'!$H$43/12</f>
        <v>4.6890759091469585</v>
      </c>
      <c r="E141" s="144">
        <f ca="1">'F12_Including POA'!$H$43/12</f>
        <v>4.6890759091469585</v>
      </c>
      <c r="F141" s="144">
        <f ca="1">'F12_Including POA'!$H$43/12</f>
        <v>4.6890759091469585</v>
      </c>
      <c r="G141" s="144">
        <f ca="1">'F12_Including POA'!$H$43/12</f>
        <v>4.6890759091469585</v>
      </c>
      <c r="H141" s="144">
        <f ca="1">'F12_Including POA'!$H$43/12</f>
        <v>4.6890759091469585</v>
      </c>
      <c r="I141" s="144">
        <f ca="1">'F12_Including POA'!$H$43/12</f>
        <v>4.6890759091469585</v>
      </c>
      <c r="J141" s="144">
        <f ca="1">'F12_Including POA'!$H$43/12</f>
        <v>4.6890759091469585</v>
      </c>
      <c r="K141" s="144">
        <f ca="1">'F12_Including POA'!$H$43/12</f>
        <v>4.6890759091469585</v>
      </c>
      <c r="L141" s="144">
        <f ca="1">'F12_Including POA'!$H$43/12</f>
        <v>4.6890759091469585</v>
      </c>
      <c r="M141" s="144">
        <f ca="1">'F12_Including POA'!$H$43/12</f>
        <v>4.6890759091469585</v>
      </c>
      <c r="N141" s="144">
        <f ca="1">'F12_Including POA'!$H$43/12</f>
        <v>4.6890759091469585</v>
      </c>
      <c r="O141" s="144">
        <f ca="1">'F12_Including POA'!$H$43/12</f>
        <v>4.6890759091469585</v>
      </c>
      <c r="P141" s="144">
        <f t="shared" ca="1" si="8"/>
        <v>56.268910909763498</v>
      </c>
    </row>
    <row r="142" spans="2:22">
      <c r="B142" s="145" t="s">
        <v>596</v>
      </c>
      <c r="C142" s="151" t="s">
        <v>597</v>
      </c>
      <c r="D142" s="144">
        <f ca="1">'F12_Including POA'!$H$44/12</f>
        <v>1.9669383338194339</v>
      </c>
      <c r="E142" s="144">
        <f ca="1">'F12_Including POA'!$H$44/12</f>
        <v>1.9669383338194339</v>
      </c>
      <c r="F142" s="144">
        <f ca="1">'F12_Including POA'!$H$44/12</f>
        <v>1.9669383338194339</v>
      </c>
      <c r="G142" s="144">
        <f ca="1">'F12_Including POA'!$H$44/12</f>
        <v>1.9669383338194339</v>
      </c>
      <c r="H142" s="144">
        <f ca="1">'F12_Including POA'!$H$44/12</f>
        <v>1.9669383338194339</v>
      </c>
      <c r="I142" s="144">
        <f ca="1">'F12_Including POA'!$H$44/12</f>
        <v>1.9669383338194339</v>
      </c>
      <c r="J142" s="144">
        <f ca="1">'F12_Including POA'!$H$44/12</f>
        <v>1.9669383338194339</v>
      </c>
      <c r="K142" s="144">
        <f ca="1">'F12_Including POA'!$H$44/12</f>
        <v>1.9669383338194339</v>
      </c>
      <c r="L142" s="144">
        <f ca="1">'F12_Including POA'!$H$44/12</f>
        <v>1.9669383338194339</v>
      </c>
      <c r="M142" s="144">
        <f ca="1">'F12_Including POA'!$H$44/12</f>
        <v>1.9669383338194339</v>
      </c>
      <c r="N142" s="144">
        <f ca="1">'F12_Including POA'!$H$44/12</f>
        <v>1.9669383338194339</v>
      </c>
      <c r="O142" s="144">
        <f ca="1">'F12_Including POA'!$H$44/12</f>
        <v>1.9669383338194339</v>
      </c>
      <c r="P142" s="144">
        <f t="shared" ca="1" si="8"/>
        <v>23.60326000583321</v>
      </c>
    </row>
    <row r="143" spans="2:22">
      <c r="B143" s="145" t="s">
        <v>598</v>
      </c>
      <c r="C143" s="151" t="s">
        <v>599</v>
      </c>
      <c r="D143" s="144">
        <f ca="1">'F12_Including POA'!$H$45/12</f>
        <v>1.4711162371843247</v>
      </c>
      <c r="E143" s="144">
        <f ca="1">'F12_Including POA'!$H$45/12</f>
        <v>1.4711162371843247</v>
      </c>
      <c r="F143" s="144">
        <f ca="1">'F12_Including POA'!$H$45/12</f>
        <v>1.4711162371843247</v>
      </c>
      <c r="G143" s="144">
        <f ca="1">'F12_Including POA'!$H$45/12</f>
        <v>1.4711162371843247</v>
      </c>
      <c r="H143" s="144">
        <f ca="1">'F12_Including POA'!$H$45/12</f>
        <v>1.4711162371843247</v>
      </c>
      <c r="I143" s="144">
        <f ca="1">'F12_Including POA'!$H$45/12</f>
        <v>1.4711162371843247</v>
      </c>
      <c r="J143" s="144">
        <f ca="1">'F12_Including POA'!$H$45/12</f>
        <v>1.4711162371843247</v>
      </c>
      <c r="K143" s="144">
        <f ca="1">'F12_Including POA'!$H$45/12</f>
        <v>1.4711162371843247</v>
      </c>
      <c r="L143" s="144">
        <f ca="1">'F12_Including POA'!$H$45/12</f>
        <v>1.4711162371843247</v>
      </c>
      <c r="M143" s="144">
        <f ca="1">'F12_Including POA'!$H$45/12</f>
        <v>1.4711162371843247</v>
      </c>
      <c r="N143" s="144">
        <f ca="1">'F12_Including POA'!$H$45/12</f>
        <v>1.4711162371843247</v>
      </c>
      <c r="O143" s="144">
        <f ca="1">'F12_Including POA'!$H$45/12</f>
        <v>1.4711162371843247</v>
      </c>
      <c r="P143" s="144">
        <f t="shared" ca="1" si="8"/>
        <v>17.653394846211896</v>
      </c>
    </row>
    <row r="144" spans="2:22">
      <c r="B144" s="145" t="s">
        <v>600</v>
      </c>
      <c r="C144" s="151" t="s">
        <v>601</v>
      </c>
      <c r="D144" s="144">
        <f ca="1">'F12_Including POA'!$H$46/12</f>
        <v>2.4053039832988097E-2</v>
      </c>
      <c r="E144" s="144">
        <f ca="1">'F12_Including POA'!$H$46/12</f>
        <v>2.4053039832988097E-2</v>
      </c>
      <c r="F144" s="144">
        <f ca="1">'F12_Including POA'!$H$46/12</f>
        <v>2.4053039832988097E-2</v>
      </c>
      <c r="G144" s="144">
        <f ca="1">'F12_Including POA'!$H$46/12</f>
        <v>2.4053039832988097E-2</v>
      </c>
      <c r="H144" s="144">
        <f ca="1">'F12_Including POA'!$H$46/12</f>
        <v>2.4053039832988097E-2</v>
      </c>
      <c r="I144" s="144">
        <f ca="1">'F12_Including POA'!$H$46/12</f>
        <v>2.4053039832988097E-2</v>
      </c>
      <c r="J144" s="144">
        <f ca="1">'F12_Including POA'!$H$46/12</f>
        <v>2.4053039832988097E-2</v>
      </c>
      <c r="K144" s="144">
        <f ca="1">'F12_Including POA'!$H$46/12</f>
        <v>2.4053039832988097E-2</v>
      </c>
      <c r="L144" s="144">
        <f ca="1">'F12_Including POA'!$H$46/12</f>
        <v>2.4053039832988097E-2</v>
      </c>
      <c r="M144" s="144">
        <f ca="1">'F12_Including POA'!$H$46/12</f>
        <v>2.4053039832988097E-2</v>
      </c>
      <c r="N144" s="144">
        <f ca="1">'F12_Including POA'!$H$46/12</f>
        <v>2.4053039832988097E-2</v>
      </c>
      <c r="O144" s="144">
        <f ca="1">'F12_Including POA'!$H$46/12</f>
        <v>2.4053039832988097E-2</v>
      </c>
      <c r="P144" s="144">
        <f t="shared" ca="1" si="8"/>
        <v>0.28863647799585718</v>
      </c>
    </row>
    <row r="145" spans="2:16">
      <c r="B145" s="145" t="s">
        <v>602</v>
      </c>
      <c r="C145" s="151" t="s">
        <v>603</v>
      </c>
      <c r="D145" s="144">
        <f ca="1">'F12_Including POA'!$H$47/12</f>
        <v>1.2620620933768034E-2</v>
      </c>
      <c r="E145" s="144">
        <f ca="1">'F12_Including POA'!$H$47/12</f>
        <v>1.2620620933768034E-2</v>
      </c>
      <c r="F145" s="144">
        <f ca="1">'F12_Including POA'!$H$47/12</f>
        <v>1.2620620933768034E-2</v>
      </c>
      <c r="G145" s="144">
        <f ca="1">'F12_Including POA'!$H$47/12</f>
        <v>1.2620620933768034E-2</v>
      </c>
      <c r="H145" s="144">
        <f ca="1">'F12_Including POA'!$H$47/12</f>
        <v>1.2620620933768034E-2</v>
      </c>
      <c r="I145" s="144">
        <f ca="1">'F12_Including POA'!$H$47/12</f>
        <v>1.2620620933768034E-2</v>
      </c>
      <c r="J145" s="144">
        <f ca="1">'F12_Including POA'!$H$47/12</f>
        <v>1.2620620933768034E-2</v>
      </c>
      <c r="K145" s="144">
        <f ca="1">'F12_Including POA'!$H$47/12</f>
        <v>1.2620620933768034E-2</v>
      </c>
      <c r="L145" s="144">
        <f ca="1">'F12_Including POA'!$H$47/12</f>
        <v>1.2620620933768034E-2</v>
      </c>
      <c r="M145" s="144">
        <f ca="1">'F12_Including POA'!$H$47/12</f>
        <v>1.2620620933768034E-2</v>
      </c>
      <c r="N145" s="144">
        <f ca="1">'F12_Including POA'!$H$47/12</f>
        <v>1.2620620933768034E-2</v>
      </c>
      <c r="O145" s="144">
        <f ca="1">'F12_Including POA'!$H$47/12</f>
        <v>1.2620620933768034E-2</v>
      </c>
      <c r="P145" s="144">
        <f t="shared" ca="1" si="8"/>
        <v>0.15144745120521641</v>
      </c>
    </row>
    <row r="146" spans="2:16">
      <c r="B146" s="145" t="s">
        <v>604</v>
      </c>
      <c r="C146" s="151" t="s">
        <v>605</v>
      </c>
      <c r="D146" s="144">
        <f ca="1">'F12_Including POA'!$H$48/12</f>
        <v>1.3332921326402713E-2</v>
      </c>
      <c r="E146" s="144">
        <f ca="1">'F12_Including POA'!$H$48/12</f>
        <v>1.3332921326402713E-2</v>
      </c>
      <c r="F146" s="144">
        <f ca="1">'F12_Including POA'!$H$48/12</f>
        <v>1.3332921326402713E-2</v>
      </c>
      <c r="G146" s="144">
        <f ca="1">'F12_Including POA'!$H$48/12</f>
        <v>1.3332921326402713E-2</v>
      </c>
      <c r="H146" s="144">
        <f ca="1">'F12_Including POA'!$H$48/12</f>
        <v>1.3332921326402713E-2</v>
      </c>
      <c r="I146" s="144">
        <f ca="1">'F12_Including POA'!$H$48/12</f>
        <v>1.3332921326402713E-2</v>
      </c>
      <c r="J146" s="144">
        <f ca="1">'F12_Including POA'!$H$48/12</f>
        <v>1.3332921326402713E-2</v>
      </c>
      <c r="K146" s="144">
        <f ca="1">'F12_Including POA'!$H$48/12</f>
        <v>1.3332921326402713E-2</v>
      </c>
      <c r="L146" s="144">
        <f ca="1">'F12_Including POA'!$H$48/12</f>
        <v>1.3332921326402713E-2</v>
      </c>
      <c r="M146" s="144">
        <f ca="1">'F12_Including POA'!$H$48/12</f>
        <v>1.3332921326402713E-2</v>
      </c>
      <c r="N146" s="144">
        <f ca="1">'F12_Including POA'!$H$48/12</f>
        <v>1.3332921326402713E-2</v>
      </c>
      <c r="O146" s="144">
        <f ca="1">'F12_Including POA'!$H$48/12</f>
        <v>1.3332921326402713E-2</v>
      </c>
      <c r="P146" s="144">
        <f t="shared" ca="1" si="8"/>
        <v>0.15999505591683252</v>
      </c>
    </row>
    <row r="147" spans="2:16">
      <c r="B147" s="145" t="s">
        <v>606</v>
      </c>
      <c r="C147" s="151" t="s">
        <v>607</v>
      </c>
      <c r="D147" s="144">
        <f ca="1">'F12_Including POA'!$H$49/12</f>
        <v>3.6192706584226908E-2</v>
      </c>
      <c r="E147" s="144">
        <f ca="1">'F12_Including POA'!$H$49/12</f>
        <v>3.6192706584226908E-2</v>
      </c>
      <c r="F147" s="144">
        <f ca="1">'F12_Including POA'!$H$49/12</f>
        <v>3.6192706584226908E-2</v>
      </c>
      <c r="G147" s="144">
        <f ca="1">'F12_Including POA'!$H$49/12</f>
        <v>3.6192706584226908E-2</v>
      </c>
      <c r="H147" s="144">
        <f ca="1">'F12_Including POA'!$H$49/12</f>
        <v>3.6192706584226908E-2</v>
      </c>
      <c r="I147" s="144">
        <f ca="1">'F12_Including POA'!$H$49/12</f>
        <v>3.6192706584226908E-2</v>
      </c>
      <c r="J147" s="144">
        <f ca="1">'F12_Including POA'!$H$49/12</f>
        <v>3.6192706584226908E-2</v>
      </c>
      <c r="K147" s="144">
        <f ca="1">'F12_Including POA'!$H$49/12</f>
        <v>3.6192706584226908E-2</v>
      </c>
      <c r="L147" s="144">
        <f ca="1">'F12_Including POA'!$H$49/12</f>
        <v>3.6192706584226908E-2</v>
      </c>
      <c r="M147" s="144">
        <f ca="1">'F12_Including POA'!$H$49/12</f>
        <v>3.6192706584226908E-2</v>
      </c>
      <c r="N147" s="144">
        <f ca="1">'F12_Including POA'!$H$49/12</f>
        <v>3.6192706584226908E-2</v>
      </c>
      <c r="O147" s="144">
        <f ca="1">'F12_Including POA'!$H$49/12</f>
        <v>3.6192706584226908E-2</v>
      </c>
      <c r="P147" s="144">
        <f t="shared" ca="1" si="8"/>
        <v>0.4343124790107229</v>
      </c>
    </row>
    <row r="148" spans="2:16">
      <c r="B148" s="145" t="s">
        <v>608</v>
      </c>
      <c r="C148" s="151" t="s">
        <v>609</v>
      </c>
      <c r="D148" s="144">
        <f ca="1">'F12_Including POA'!$H$50/12</f>
        <v>4.3359638073106645E-2</v>
      </c>
      <c r="E148" s="144">
        <f ca="1">'F12_Including POA'!$H$50/12</f>
        <v>4.3359638073106645E-2</v>
      </c>
      <c r="F148" s="144">
        <f ca="1">'F12_Including POA'!$H$50/12</f>
        <v>4.3359638073106645E-2</v>
      </c>
      <c r="G148" s="144">
        <f ca="1">'F12_Including POA'!$H$50/12</f>
        <v>4.3359638073106645E-2</v>
      </c>
      <c r="H148" s="144">
        <f ca="1">'F12_Including POA'!$H$50/12</f>
        <v>4.3359638073106645E-2</v>
      </c>
      <c r="I148" s="144">
        <f ca="1">'F12_Including POA'!$H$50/12</f>
        <v>4.3359638073106645E-2</v>
      </c>
      <c r="J148" s="144">
        <f ca="1">'F12_Including POA'!$H$50/12</f>
        <v>4.3359638073106645E-2</v>
      </c>
      <c r="K148" s="144">
        <f ca="1">'F12_Including POA'!$H$50/12</f>
        <v>4.3359638073106645E-2</v>
      </c>
      <c r="L148" s="144">
        <f ca="1">'F12_Including POA'!$H$50/12</f>
        <v>4.3359638073106645E-2</v>
      </c>
      <c r="M148" s="144">
        <f ca="1">'F12_Including POA'!$H$50/12</f>
        <v>4.3359638073106645E-2</v>
      </c>
      <c r="N148" s="144">
        <f ca="1">'F12_Including POA'!$H$50/12</f>
        <v>4.3359638073106645E-2</v>
      </c>
      <c r="O148" s="144">
        <f ca="1">'F12_Including POA'!$H$50/12</f>
        <v>4.3359638073106645E-2</v>
      </c>
      <c r="P148" s="144">
        <f t="shared" ca="1" si="8"/>
        <v>0.52031565687727988</v>
      </c>
    </row>
    <row r="149" spans="2:16">
      <c r="B149" s="145" t="s">
        <v>610</v>
      </c>
      <c r="C149" s="151" t="s">
        <v>611</v>
      </c>
      <c r="D149" s="144">
        <f ca="1">'F12_Including POA'!$H$51/12</f>
        <v>1.899876436605687E-2</v>
      </c>
      <c r="E149" s="144">
        <f ca="1">'F12_Including POA'!$H$51/12</f>
        <v>1.899876436605687E-2</v>
      </c>
      <c r="F149" s="144">
        <f ca="1">'F12_Including POA'!$H$51/12</f>
        <v>1.899876436605687E-2</v>
      </c>
      <c r="G149" s="144">
        <f ca="1">'F12_Including POA'!$H$51/12</f>
        <v>1.899876436605687E-2</v>
      </c>
      <c r="H149" s="144">
        <f ca="1">'F12_Including POA'!$H$51/12</f>
        <v>1.899876436605687E-2</v>
      </c>
      <c r="I149" s="144">
        <f ca="1">'F12_Including POA'!$H$51/12</f>
        <v>1.899876436605687E-2</v>
      </c>
      <c r="J149" s="144">
        <f ca="1">'F12_Including POA'!$H$51/12</f>
        <v>1.899876436605687E-2</v>
      </c>
      <c r="K149" s="144">
        <f ca="1">'F12_Including POA'!$H$51/12</f>
        <v>1.899876436605687E-2</v>
      </c>
      <c r="L149" s="144">
        <f ca="1">'F12_Including POA'!$H$51/12</f>
        <v>1.899876436605687E-2</v>
      </c>
      <c r="M149" s="144">
        <f ca="1">'F12_Including POA'!$H$51/12</f>
        <v>1.899876436605687E-2</v>
      </c>
      <c r="N149" s="144">
        <f ca="1">'F12_Including POA'!$H$51/12</f>
        <v>1.899876436605687E-2</v>
      </c>
      <c r="O149" s="144">
        <f ca="1">'F12_Including POA'!$H$51/12</f>
        <v>1.899876436605687E-2</v>
      </c>
      <c r="P149" s="144">
        <f t="shared" ca="1" si="8"/>
        <v>0.22798517239268248</v>
      </c>
    </row>
    <row r="150" spans="2:16">
      <c r="B150" s="145" t="s">
        <v>612</v>
      </c>
      <c r="C150" s="151" t="s">
        <v>613</v>
      </c>
      <c r="D150" s="144">
        <f ca="1">'F12_Including POA'!$H$52/12</f>
        <v>1.2743555397210525E-2</v>
      </c>
      <c r="E150" s="144">
        <f ca="1">'F12_Including POA'!$H$52/12</f>
        <v>1.2743555397210525E-2</v>
      </c>
      <c r="F150" s="144">
        <f ca="1">'F12_Including POA'!$H$52/12</f>
        <v>1.2743555397210525E-2</v>
      </c>
      <c r="G150" s="144">
        <f ca="1">'F12_Including POA'!$H$52/12</f>
        <v>1.2743555397210525E-2</v>
      </c>
      <c r="H150" s="144">
        <f ca="1">'F12_Including POA'!$H$52/12</f>
        <v>1.2743555397210525E-2</v>
      </c>
      <c r="I150" s="144">
        <f ca="1">'F12_Including POA'!$H$52/12</f>
        <v>1.2743555397210525E-2</v>
      </c>
      <c r="J150" s="144">
        <f ca="1">'F12_Including POA'!$H$52/12</f>
        <v>1.2743555397210525E-2</v>
      </c>
      <c r="K150" s="144">
        <f ca="1">'F12_Including POA'!$H$52/12</f>
        <v>1.2743555397210525E-2</v>
      </c>
      <c r="L150" s="144">
        <f ca="1">'F12_Including POA'!$H$52/12</f>
        <v>1.2743555397210525E-2</v>
      </c>
      <c r="M150" s="144">
        <f ca="1">'F12_Including POA'!$H$52/12</f>
        <v>1.2743555397210525E-2</v>
      </c>
      <c r="N150" s="144">
        <f ca="1">'F12_Including POA'!$H$52/12</f>
        <v>1.2743555397210525E-2</v>
      </c>
      <c r="O150" s="144">
        <f ca="1">'F12_Including POA'!$H$52/12</f>
        <v>1.2743555397210525E-2</v>
      </c>
      <c r="P150" s="144">
        <f t="shared" ca="1" si="8"/>
        <v>0.15292266476652636</v>
      </c>
    </row>
    <row r="151" spans="2:16">
      <c r="B151" s="145" t="s">
        <v>614</v>
      </c>
      <c r="C151" s="151" t="s">
        <v>615</v>
      </c>
      <c r="D151" s="144">
        <f ca="1">'F12_Including POA'!$H$53/12</f>
        <v>5.5994646714686361E-3</v>
      </c>
      <c r="E151" s="144">
        <f ca="1">'F12_Including POA'!$H$53/12</f>
        <v>5.5994646714686361E-3</v>
      </c>
      <c r="F151" s="144">
        <f ca="1">'F12_Including POA'!$H$53/12</f>
        <v>5.5994646714686361E-3</v>
      </c>
      <c r="G151" s="144">
        <f ca="1">'F12_Including POA'!$H$53/12</f>
        <v>5.5994646714686361E-3</v>
      </c>
      <c r="H151" s="144">
        <f ca="1">'F12_Including POA'!$H$53/12</f>
        <v>5.5994646714686361E-3</v>
      </c>
      <c r="I151" s="144">
        <f ca="1">'F12_Including POA'!$H$53/12</f>
        <v>5.5994646714686361E-3</v>
      </c>
      <c r="J151" s="144">
        <f ca="1">'F12_Including POA'!$H$53/12</f>
        <v>5.5994646714686361E-3</v>
      </c>
      <c r="K151" s="144">
        <f ca="1">'F12_Including POA'!$H$53/12</f>
        <v>5.5994646714686361E-3</v>
      </c>
      <c r="L151" s="144">
        <f ca="1">'F12_Including POA'!$H$53/12</f>
        <v>5.5994646714686361E-3</v>
      </c>
      <c r="M151" s="144">
        <f ca="1">'F12_Including POA'!$H$53/12</f>
        <v>5.5994646714686361E-3</v>
      </c>
      <c r="N151" s="144">
        <f ca="1">'F12_Including POA'!$H$53/12</f>
        <v>5.5994646714686361E-3</v>
      </c>
      <c r="O151" s="144">
        <f ca="1">'F12_Including POA'!$H$53/12</f>
        <v>5.5994646714686361E-3</v>
      </c>
      <c r="P151" s="144">
        <f t="shared" ca="1" si="8"/>
        <v>6.7193576057623633E-2</v>
      </c>
    </row>
    <row r="152" spans="2:16">
      <c r="B152" s="145" t="s">
        <v>616</v>
      </c>
      <c r="C152" s="151" t="s">
        <v>617</v>
      </c>
      <c r="D152" s="144">
        <f ca="1">'F12_Including POA'!$H$54/12</f>
        <v>1.5301581343256886E-3</v>
      </c>
      <c r="E152" s="144">
        <f ca="1">'F12_Including POA'!$H$54/12</f>
        <v>1.5301581343256886E-3</v>
      </c>
      <c r="F152" s="144">
        <f ca="1">'F12_Including POA'!$H$54/12</f>
        <v>1.5301581343256886E-3</v>
      </c>
      <c r="G152" s="144">
        <f ca="1">'F12_Including POA'!$H$54/12</f>
        <v>1.5301581343256886E-3</v>
      </c>
      <c r="H152" s="144">
        <f ca="1">'F12_Including POA'!$H$54/12</f>
        <v>1.5301581343256886E-3</v>
      </c>
      <c r="I152" s="144">
        <f ca="1">'F12_Including POA'!$H$54/12</f>
        <v>1.5301581343256886E-3</v>
      </c>
      <c r="J152" s="144">
        <f ca="1">'F12_Including POA'!$H$54/12</f>
        <v>1.5301581343256886E-3</v>
      </c>
      <c r="K152" s="144">
        <f ca="1">'F12_Including POA'!$H$54/12</f>
        <v>1.5301581343256886E-3</v>
      </c>
      <c r="L152" s="144">
        <f ca="1">'F12_Including POA'!$H$54/12</f>
        <v>1.5301581343256886E-3</v>
      </c>
      <c r="M152" s="144">
        <f ca="1">'F12_Including POA'!$H$54/12</f>
        <v>1.5301581343256886E-3</v>
      </c>
      <c r="N152" s="144">
        <f ca="1">'F12_Including POA'!$H$54/12</f>
        <v>1.5301581343256886E-3</v>
      </c>
      <c r="O152" s="144">
        <f ca="1">'F12_Including POA'!$H$54/12</f>
        <v>1.5301581343256886E-3</v>
      </c>
      <c r="P152" s="144">
        <f t="shared" ca="1" si="8"/>
        <v>1.8361897611908262E-2</v>
      </c>
    </row>
    <row r="153" spans="2:16">
      <c r="B153" s="145" t="s">
        <v>618</v>
      </c>
      <c r="C153" s="151" t="s">
        <v>619</v>
      </c>
      <c r="D153" s="144">
        <f ca="1">'F12_Including POA'!$H$55/12</f>
        <v>7.7267641407758395E-2</v>
      </c>
      <c r="E153" s="144">
        <f ca="1">'F12_Including POA'!$H$55/12</f>
        <v>7.7267641407758395E-2</v>
      </c>
      <c r="F153" s="144">
        <f ca="1">'F12_Including POA'!$H$55/12</f>
        <v>7.7267641407758395E-2</v>
      </c>
      <c r="G153" s="144">
        <f ca="1">'F12_Including POA'!$H$55/12</f>
        <v>7.7267641407758395E-2</v>
      </c>
      <c r="H153" s="144">
        <f ca="1">'F12_Including POA'!$H$55/12</f>
        <v>7.7267641407758395E-2</v>
      </c>
      <c r="I153" s="144">
        <f ca="1">'F12_Including POA'!$H$55/12</f>
        <v>7.7267641407758395E-2</v>
      </c>
      <c r="J153" s="144">
        <f ca="1">'F12_Including POA'!$H$55/12</f>
        <v>7.7267641407758395E-2</v>
      </c>
      <c r="K153" s="144">
        <f ca="1">'F12_Including POA'!$H$55/12</f>
        <v>7.7267641407758395E-2</v>
      </c>
      <c r="L153" s="144">
        <f ca="1">'F12_Including POA'!$H$55/12</f>
        <v>7.7267641407758395E-2</v>
      </c>
      <c r="M153" s="144">
        <f ca="1">'F12_Including POA'!$H$55/12</f>
        <v>7.7267641407758395E-2</v>
      </c>
      <c r="N153" s="144">
        <f ca="1">'F12_Including POA'!$H$55/12</f>
        <v>7.7267641407758395E-2</v>
      </c>
      <c r="O153" s="144">
        <f ca="1">'F12_Including POA'!$H$55/12</f>
        <v>7.7267641407758395E-2</v>
      </c>
      <c r="P153" s="144">
        <f t="shared" ca="1" si="8"/>
        <v>0.9272116968931009</v>
      </c>
    </row>
    <row r="154" spans="2:16">
      <c r="B154" s="145"/>
      <c r="C154" s="151" t="s">
        <v>620</v>
      </c>
      <c r="D154" s="144">
        <f ca="1">'F12_Including POA'!$H$56/12</f>
        <v>3.5556775668694883E-2</v>
      </c>
      <c r="E154" s="144">
        <f ca="1">'F12_Including POA'!$H$56/12</f>
        <v>3.5556775668694883E-2</v>
      </c>
      <c r="F154" s="144">
        <f ca="1">'F12_Including POA'!$H$56/12</f>
        <v>3.5556775668694883E-2</v>
      </c>
      <c r="G154" s="144">
        <f ca="1">'F12_Including POA'!$H$56/12</f>
        <v>3.5556775668694883E-2</v>
      </c>
      <c r="H154" s="144">
        <f ca="1">'F12_Including POA'!$H$56/12</f>
        <v>3.5556775668694883E-2</v>
      </c>
      <c r="I154" s="144">
        <f ca="1">'F12_Including POA'!$H$56/12</f>
        <v>3.5556775668694883E-2</v>
      </c>
      <c r="J154" s="144">
        <f ca="1">'F12_Including POA'!$H$56/12</f>
        <v>3.5556775668694883E-2</v>
      </c>
      <c r="K154" s="144">
        <f ca="1">'F12_Including POA'!$H$56/12</f>
        <v>3.5556775668694883E-2</v>
      </c>
      <c r="L154" s="144">
        <f ca="1">'F12_Including POA'!$H$56/12</f>
        <v>3.5556775668694883E-2</v>
      </c>
      <c r="M154" s="144">
        <f ca="1">'F12_Including POA'!$H$56/12</f>
        <v>3.5556775668694883E-2</v>
      </c>
      <c r="N154" s="144">
        <f ca="1">'F12_Including POA'!$H$56/12</f>
        <v>3.5556775668694883E-2</v>
      </c>
      <c r="O154" s="144">
        <f ca="1">'F12_Including POA'!$H$56/12</f>
        <v>3.5556775668694883E-2</v>
      </c>
      <c r="P154" s="144">
        <f t="shared" ca="1" si="8"/>
        <v>0.42668130802433851</v>
      </c>
    </row>
    <row r="155" spans="2:16">
      <c r="B155" s="145"/>
      <c r="C155" s="151" t="s">
        <v>621</v>
      </c>
      <c r="D155" s="144">
        <f ca="1">'F12_Including POA'!$H$57/12</f>
        <v>2.4898813098113006E-2</v>
      </c>
      <c r="E155" s="144">
        <f ca="1">'F12_Including POA'!$H$57/12</f>
        <v>2.4898813098113006E-2</v>
      </c>
      <c r="F155" s="144">
        <f ca="1">'F12_Including POA'!$H$57/12</f>
        <v>2.4898813098113006E-2</v>
      </c>
      <c r="G155" s="144">
        <f ca="1">'F12_Including POA'!$H$57/12</f>
        <v>2.4898813098113006E-2</v>
      </c>
      <c r="H155" s="144">
        <f ca="1">'F12_Including POA'!$H$57/12</f>
        <v>2.4898813098113006E-2</v>
      </c>
      <c r="I155" s="144">
        <f ca="1">'F12_Including POA'!$H$57/12</f>
        <v>2.4898813098113006E-2</v>
      </c>
      <c r="J155" s="144">
        <f ca="1">'F12_Including POA'!$H$57/12</f>
        <v>2.4898813098113006E-2</v>
      </c>
      <c r="K155" s="144">
        <f ca="1">'F12_Including POA'!$H$57/12</f>
        <v>2.4898813098113006E-2</v>
      </c>
      <c r="L155" s="144">
        <f ca="1">'F12_Including POA'!$H$57/12</f>
        <v>2.4898813098113006E-2</v>
      </c>
      <c r="M155" s="144">
        <f ca="1">'F12_Including POA'!$H$57/12</f>
        <v>2.4898813098113006E-2</v>
      </c>
      <c r="N155" s="144">
        <f ca="1">'F12_Including POA'!$H$57/12</f>
        <v>2.4898813098113006E-2</v>
      </c>
      <c r="O155" s="144">
        <f ca="1">'F12_Including POA'!$H$57/12</f>
        <v>2.4898813098113006E-2</v>
      </c>
      <c r="P155" s="144">
        <f t="shared" ca="1" si="8"/>
        <v>0.29878575717735606</v>
      </c>
    </row>
    <row r="156" spans="2:16">
      <c r="B156" s="145"/>
      <c r="C156" s="151" t="s">
        <v>622</v>
      </c>
      <c r="D156" s="144">
        <f ca="1">'F12_Including POA'!$H$58/12</f>
        <v>4.688327680211235E-2</v>
      </c>
      <c r="E156" s="144">
        <f ca="1">'F12_Including POA'!$H$58/12</f>
        <v>4.688327680211235E-2</v>
      </c>
      <c r="F156" s="144">
        <f ca="1">'F12_Including POA'!$H$58/12</f>
        <v>4.688327680211235E-2</v>
      </c>
      <c r="G156" s="144">
        <f ca="1">'F12_Including POA'!$H$58/12</f>
        <v>4.688327680211235E-2</v>
      </c>
      <c r="H156" s="144">
        <f ca="1">'F12_Including POA'!$H$58/12</f>
        <v>4.688327680211235E-2</v>
      </c>
      <c r="I156" s="144">
        <f ca="1">'F12_Including POA'!$H$58/12</f>
        <v>4.688327680211235E-2</v>
      </c>
      <c r="J156" s="144">
        <f ca="1">'F12_Including POA'!$H$58/12</f>
        <v>4.688327680211235E-2</v>
      </c>
      <c r="K156" s="144">
        <f ca="1">'F12_Including POA'!$H$58/12</f>
        <v>4.688327680211235E-2</v>
      </c>
      <c r="L156" s="144">
        <f ca="1">'F12_Including POA'!$H$58/12</f>
        <v>4.688327680211235E-2</v>
      </c>
      <c r="M156" s="144">
        <f ca="1">'F12_Including POA'!$H$58/12</f>
        <v>4.688327680211235E-2</v>
      </c>
      <c r="N156" s="144">
        <f ca="1">'F12_Including POA'!$H$58/12</f>
        <v>4.688327680211235E-2</v>
      </c>
      <c r="O156" s="144">
        <f ca="1">'F12_Including POA'!$H$58/12</f>
        <v>4.688327680211235E-2</v>
      </c>
      <c r="P156" s="144">
        <f t="shared" ca="1" si="8"/>
        <v>0.5625993216253482</v>
      </c>
    </row>
    <row r="157" spans="2:16">
      <c r="B157" s="145"/>
      <c r="C157" s="146"/>
      <c r="D157" s="144">
        <f ca="1">'F12_Including POA'!$H$59/12</f>
        <v>4.688327680211235E-2</v>
      </c>
      <c r="E157" s="144">
        <f ca="1">'F12_Including POA'!$H$59/12</f>
        <v>4.688327680211235E-2</v>
      </c>
      <c r="F157" s="144">
        <f ca="1">'F12_Including POA'!$H$59/12</f>
        <v>4.688327680211235E-2</v>
      </c>
      <c r="G157" s="144">
        <f ca="1">'F12_Including POA'!$H$59/12</f>
        <v>4.688327680211235E-2</v>
      </c>
      <c r="H157" s="144">
        <f ca="1">'F12_Including POA'!$H$59/12</f>
        <v>4.688327680211235E-2</v>
      </c>
      <c r="I157" s="144">
        <f ca="1">'F12_Including POA'!$H$59/12</f>
        <v>4.688327680211235E-2</v>
      </c>
      <c r="J157" s="144">
        <f ca="1">'F12_Including POA'!$H$59/12</f>
        <v>4.688327680211235E-2</v>
      </c>
      <c r="K157" s="144">
        <f ca="1">'F12_Including POA'!$H$59/12</f>
        <v>4.688327680211235E-2</v>
      </c>
      <c r="L157" s="144">
        <f ca="1">'F12_Including POA'!$H$59/12</f>
        <v>4.688327680211235E-2</v>
      </c>
      <c r="M157" s="144">
        <f ca="1">'F12_Including POA'!$H$59/12</f>
        <v>4.688327680211235E-2</v>
      </c>
      <c r="N157" s="144">
        <f ca="1">'F12_Including POA'!$H$59/12</f>
        <v>4.688327680211235E-2</v>
      </c>
      <c r="O157" s="144">
        <f ca="1">'F12_Including POA'!$H$59/12</f>
        <v>4.688327680211235E-2</v>
      </c>
      <c r="P157" s="144">
        <f t="shared" ca="1" si="8"/>
        <v>0.5625993216253482</v>
      </c>
    </row>
    <row r="158" spans="2:16">
      <c r="B158" s="142">
        <v>2</v>
      </c>
      <c r="C158" s="143" t="s">
        <v>623</v>
      </c>
      <c r="D158" s="144"/>
      <c r="E158" s="144"/>
      <c r="F158" s="144"/>
      <c r="G158" s="144"/>
      <c r="H158" s="144"/>
      <c r="I158" s="144"/>
      <c r="J158" s="144"/>
      <c r="K158" s="144"/>
      <c r="L158" s="144"/>
      <c r="M158" s="144"/>
      <c r="N158" s="144"/>
      <c r="O158" s="144"/>
      <c r="P158" s="144"/>
    </row>
    <row r="159" spans="2:16">
      <c r="B159" s="145">
        <v>2.1</v>
      </c>
      <c r="C159" s="146"/>
      <c r="D159" s="144"/>
      <c r="E159" s="144"/>
      <c r="F159" s="144"/>
      <c r="G159" s="144"/>
      <c r="H159" s="144"/>
      <c r="I159" s="144"/>
      <c r="J159" s="144"/>
      <c r="K159" s="144"/>
      <c r="L159" s="144"/>
      <c r="M159" s="144"/>
      <c r="N159" s="144"/>
      <c r="O159" s="144"/>
      <c r="P159" s="144"/>
    </row>
    <row r="160" spans="2:16">
      <c r="B160" s="145">
        <v>2.2000000000000002</v>
      </c>
      <c r="C160" s="146"/>
      <c r="D160" s="144"/>
      <c r="E160" s="144"/>
      <c r="F160" s="144"/>
      <c r="G160" s="144"/>
      <c r="H160" s="144"/>
      <c r="I160" s="144"/>
      <c r="J160" s="144"/>
      <c r="K160" s="144"/>
      <c r="L160" s="144"/>
      <c r="M160" s="144"/>
      <c r="N160" s="144"/>
      <c r="O160" s="144"/>
      <c r="P160" s="144"/>
    </row>
    <row r="161" spans="2:16">
      <c r="B161" s="142"/>
      <c r="C161" s="146" t="s">
        <v>629</v>
      </c>
      <c r="D161" s="144"/>
      <c r="E161" s="144"/>
      <c r="F161" s="144"/>
      <c r="G161" s="144"/>
      <c r="H161" s="144"/>
      <c r="I161" s="144"/>
      <c r="J161" s="144"/>
      <c r="K161" s="144"/>
      <c r="L161" s="144"/>
      <c r="M161" s="144"/>
      <c r="N161" s="144"/>
      <c r="O161" s="144"/>
      <c r="P161" s="144"/>
    </row>
    <row r="162" spans="2:16">
      <c r="B162" s="142">
        <v>3</v>
      </c>
      <c r="C162" s="143" t="s">
        <v>624</v>
      </c>
      <c r="D162" s="144"/>
      <c r="E162" s="144"/>
      <c r="F162" s="144"/>
      <c r="G162" s="144"/>
      <c r="H162" s="144"/>
      <c r="I162" s="144"/>
      <c r="J162" s="144"/>
      <c r="K162" s="144"/>
      <c r="L162" s="144"/>
      <c r="M162" s="144"/>
      <c r="N162" s="144"/>
      <c r="O162" s="144"/>
      <c r="P162" s="144"/>
    </row>
    <row r="163" spans="2:16">
      <c r="B163" s="142"/>
      <c r="C163" s="143" t="s">
        <v>348</v>
      </c>
      <c r="D163" s="144"/>
      <c r="E163" s="144"/>
      <c r="F163" s="144"/>
      <c r="G163" s="144"/>
      <c r="H163" s="144"/>
      <c r="I163" s="144"/>
      <c r="J163" s="144"/>
      <c r="K163" s="144"/>
      <c r="L163" s="144"/>
      <c r="M163" s="144"/>
      <c r="N163" s="144"/>
      <c r="O163" s="144"/>
      <c r="P163" s="144"/>
    </row>
    <row r="164" spans="2:16">
      <c r="B164" s="147">
        <v>4</v>
      </c>
      <c r="C164" s="148" t="s">
        <v>625</v>
      </c>
      <c r="D164" s="324">
        <f ca="1">SUM(D139:D163)</f>
        <v>78.971677413863119</v>
      </c>
      <c r="E164" s="324">
        <f t="shared" ref="E164:O164" ca="1" si="9">SUM(E139:E163)</f>
        <v>78.971677413863119</v>
      </c>
      <c r="F164" s="324">
        <f t="shared" ca="1" si="9"/>
        <v>78.971677413863119</v>
      </c>
      <c r="G164" s="324">
        <f t="shared" ca="1" si="9"/>
        <v>78.971677413863119</v>
      </c>
      <c r="H164" s="324">
        <f t="shared" ca="1" si="9"/>
        <v>78.971677413863119</v>
      </c>
      <c r="I164" s="324">
        <f t="shared" ca="1" si="9"/>
        <v>78.971677413863119</v>
      </c>
      <c r="J164" s="324">
        <f t="shared" ca="1" si="9"/>
        <v>78.971677413863119</v>
      </c>
      <c r="K164" s="324">
        <f t="shared" ca="1" si="9"/>
        <v>78.971677413863119</v>
      </c>
      <c r="L164" s="324">
        <f t="shared" ca="1" si="9"/>
        <v>78.971677413863119</v>
      </c>
      <c r="M164" s="324">
        <f t="shared" ca="1" si="9"/>
        <v>78.971677413863119</v>
      </c>
      <c r="N164" s="324">
        <f t="shared" ca="1" si="9"/>
        <v>78.971677413863119</v>
      </c>
      <c r="O164" s="324">
        <f t="shared" ca="1" si="9"/>
        <v>78.971677413863119</v>
      </c>
      <c r="P164" s="324">
        <f ca="1">SUM(P139:P163)</f>
        <v>947.66012896635732</v>
      </c>
    </row>
  </sheetData>
  <pageMargins left="0.62" right="0.23622047244094491" top="0.98425196850393704" bottom="0.98425196850393704" header="0.23622047244094491" footer="0.23622047244094491"/>
  <pageSetup paperSize="9" scale="21" orientation="landscape" r:id="rId1"/>
  <headerFooter alignWithMargins="0">
    <oddHeader>&amp;F</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E3:Z22"/>
  <sheetViews>
    <sheetView zoomScale="77" workbookViewId="0">
      <selection activeCell="T11" sqref="T11"/>
    </sheetView>
  </sheetViews>
  <sheetFormatPr defaultColWidth="8.85546875" defaultRowHeight="14.45"/>
  <cols>
    <col min="1" max="19" width="8.85546875" style="630"/>
    <col min="20" max="20" width="28.5703125" style="630" bestFit="1" customWidth="1"/>
    <col min="21" max="21" width="7.85546875" style="630" bestFit="1" customWidth="1"/>
    <col min="22" max="16384" width="8.85546875" style="630"/>
  </cols>
  <sheetData>
    <row r="3" spans="5:26">
      <c r="V3" s="723" t="s">
        <v>633</v>
      </c>
    </row>
    <row r="4" spans="5:26">
      <c r="V4" s="722" t="s">
        <v>634</v>
      </c>
      <c r="W4" s="722" t="s">
        <v>635</v>
      </c>
      <c r="X4" s="722" t="s">
        <v>636</v>
      </c>
      <c r="Y4" s="722" t="s">
        <v>637</v>
      </c>
      <c r="Z4" s="722" t="s">
        <v>638</v>
      </c>
    </row>
    <row r="5" spans="5:26">
      <c r="E5" s="858" t="s">
        <v>591</v>
      </c>
      <c r="F5" s="858"/>
      <c r="G5" s="858"/>
      <c r="H5" s="858"/>
      <c r="I5" s="858"/>
      <c r="J5" s="858"/>
      <c r="K5" s="858"/>
      <c r="L5" s="858"/>
      <c r="M5" s="858"/>
      <c r="N5" s="858"/>
      <c r="O5" s="858"/>
      <c r="P5" s="858"/>
      <c r="Q5" s="858"/>
      <c r="R5" s="858"/>
      <c r="V5" s="634">
        <f>AVERAGE(M10:Q10,F11:L11)</f>
        <v>993.29956305843291</v>
      </c>
      <c r="W5" s="633">
        <f>V5*$R$12+V5</f>
        <v>1203.6999278238677</v>
      </c>
      <c r="X5" s="633">
        <f t="shared" ref="X5:Z5" si="0">W5*$R$12+W5</f>
        <v>1458.6672239963023</v>
      </c>
      <c r="Y5" s="633">
        <f t="shared" si="0"/>
        <v>1767.6416033418732</v>
      </c>
      <c r="Z5" s="633">
        <f t="shared" si="0"/>
        <v>2142.0628272600088</v>
      </c>
    </row>
    <row r="6" spans="5:26">
      <c r="E6" s="632"/>
      <c r="F6" s="632" t="s">
        <v>639</v>
      </c>
      <c r="G6" s="632" t="s">
        <v>578</v>
      </c>
      <c r="H6" s="632" t="s">
        <v>640</v>
      </c>
      <c r="I6" s="632" t="s">
        <v>641</v>
      </c>
      <c r="J6" s="632" t="s">
        <v>581</v>
      </c>
      <c r="K6" s="632" t="s">
        <v>642</v>
      </c>
      <c r="L6" s="632" t="s">
        <v>643</v>
      </c>
      <c r="M6" s="632" t="s">
        <v>644</v>
      </c>
      <c r="N6" s="632" t="s">
        <v>645</v>
      </c>
      <c r="O6" s="632" t="s">
        <v>586</v>
      </c>
      <c r="P6" s="632" t="s">
        <v>646</v>
      </c>
      <c r="Q6" s="632" t="s">
        <v>647</v>
      </c>
      <c r="R6" s="632" t="s">
        <v>648</v>
      </c>
    </row>
    <row r="7" spans="5:26">
      <c r="E7" s="633" t="s">
        <v>649</v>
      </c>
      <c r="F7" s="634">
        <v>332.0946166666667</v>
      </c>
      <c r="G7" s="634">
        <v>471.05530510752658</v>
      </c>
      <c r="H7" s="634">
        <v>511.48245972222242</v>
      </c>
      <c r="I7" s="634">
        <v>550.85862096774201</v>
      </c>
      <c r="J7" s="634">
        <v>603.18396639784828</v>
      </c>
      <c r="K7" s="634">
        <v>531.37996527777841</v>
      </c>
      <c r="L7" s="634">
        <v>519.48905913978535</v>
      </c>
      <c r="M7" s="634">
        <v>550.92104583333457</v>
      </c>
      <c r="N7" s="634">
        <v>552.40211559139834</v>
      </c>
      <c r="O7" s="634">
        <v>550.25232526881712</v>
      </c>
      <c r="P7" s="634">
        <v>584.83206845238078</v>
      </c>
      <c r="Q7" s="634">
        <v>603.28949059139802</v>
      </c>
      <c r="R7" s="634">
        <f>AVERAGE(F7:Q7)</f>
        <v>530.10341991807479</v>
      </c>
      <c r="T7" s="724" t="s">
        <v>650</v>
      </c>
      <c r="U7" s="634">
        <f>AVERAGE(L10:Q10,F11:K11)</f>
        <v>1011.4765260593289</v>
      </c>
    </row>
    <row r="8" spans="5:26">
      <c r="E8" s="633" t="s">
        <v>651</v>
      </c>
      <c r="F8" s="634">
        <v>627.11664444444466</v>
      </c>
      <c r="G8" s="634">
        <v>686.7553803763451</v>
      </c>
      <c r="H8" s="634">
        <v>718.78583888888909</v>
      </c>
      <c r="I8" s="634">
        <v>704.0904489247315</v>
      </c>
      <c r="J8" s="634">
        <v>696.42817338709665</v>
      </c>
      <c r="K8" s="634">
        <v>657.51001527778033</v>
      </c>
      <c r="L8" s="634">
        <v>634.07630645161339</v>
      </c>
      <c r="M8" s="634">
        <v>650.29734027777806</v>
      </c>
      <c r="N8" s="634">
        <v>639.33664381720439</v>
      </c>
      <c r="O8" s="634">
        <v>696.90253494623539</v>
      </c>
      <c r="P8" s="634">
        <v>742.84562946428616</v>
      </c>
      <c r="Q8" s="634">
        <v>755.51563306451521</v>
      </c>
      <c r="R8" s="634">
        <f>AVERAGE(F8:Q8)</f>
        <v>684.13838244341002</v>
      </c>
      <c r="T8" s="720" t="s">
        <v>652</v>
      </c>
      <c r="U8" s="721">
        <f>AVERAGE(M10:Q10,F11:L11)</f>
        <v>993.29956305843291</v>
      </c>
    </row>
    <row r="9" spans="5:26">
      <c r="E9" s="633" t="s">
        <v>653</v>
      </c>
      <c r="F9" s="634">
        <v>775.82064027777778</v>
      </c>
      <c r="G9" s="634">
        <v>863.799701612901</v>
      </c>
      <c r="H9" s="634">
        <v>811.07439444444412</v>
      </c>
      <c r="I9" s="634">
        <v>808.52997983871035</v>
      </c>
      <c r="J9" s="634">
        <v>829.63654973118253</v>
      </c>
      <c r="K9" s="634">
        <v>743.9153263888885</v>
      </c>
      <c r="L9" s="634">
        <v>733.19727150537642</v>
      </c>
      <c r="M9" s="634">
        <v>704.33740833333343</v>
      </c>
      <c r="N9" s="634">
        <v>707.53410887096879</v>
      </c>
      <c r="O9" s="634">
        <v>746.15650672043137</v>
      </c>
      <c r="P9" s="634">
        <v>799.33710714285792</v>
      </c>
      <c r="Q9" s="634">
        <v>850.09875806451566</v>
      </c>
      <c r="R9" s="634">
        <f>AVERAGE(F9:Q9)</f>
        <v>781.11981274428229</v>
      </c>
    </row>
    <row r="10" spans="5:26">
      <c r="E10" s="633" t="s">
        <v>654</v>
      </c>
      <c r="F10" s="634">
        <v>852.77219024398914</v>
      </c>
      <c r="G10" s="634">
        <v>913.66165022865368</v>
      </c>
      <c r="H10" s="634">
        <v>1010.7232457143861</v>
      </c>
      <c r="I10" s="634">
        <v>973.4609501602331</v>
      </c>
      <c r="J10" s="634">
        <v>1005.586860574091</v>
      </c>
      <c r="K10" s="634">
        <v>971.10660178566036</v>
      </c>
      <c r="L10" s="634">
        <v>919.7522870465948</v>
      </c>
      <c r="M10" s="634">
        <v>856.15109793393628</v>
      </c>
      <c r="N10" s="634">
        <v>880.22631340019177</v>
      </c>
      <c r="O10" s="634">
        <v>921.60190415168915</v>
      </c>
      <c r="P10" s="634">
        <v>988.19382374359498</v>
      </c>
      <c r="Q10" s="634">
        <v>1027.0079715613244</v>
      </c>
      <c r="R10" s="634">
        <f>AVERAGE(F10:Q10)</f>
        <v>943.3537413786953</v>
      </c>
    </row>
    <row r="11" spans="5:26">
      <c r="E11" s="633" t="s">
        <v>655</v>
      </c>
      <c r="F11" s="633">
        <v>1021.8962101080143</v>
      </c>
      <c r="G11" s="633">
        <v>1071.4059633313129</v>
      </c>
      <c r="H11" s="633">
        <v>1027.5903620756242</v>
      </c>
      <c r="I11" s="633">
        <v>1123.1962568381646</v>
      </c>
      <c r="J11" s="633">
        <v>1114.6567506031602</v>
      </c>
      <c r="K11" s="633">
        <v>1186.0393719183394</v>
      </c>
      <c r="L11" s="631">
        <f>AVERAGE(L7:L10)</f>
        <v>701.62873103584252</v>
      </c>
      <c r="R11" s="634">
        <f>AVERAGE(F11:L11)</f>
        <v>1035.2019494157796</v>
      </c>
    </row>
    <row r="12" spans="5:26">
      <c r="E12" s="415" t="s">
        <v>656</v>
      </c>
      <c r="L12" s="641" t="s">
        <v>657</v>
      </c>
      <c r="Q12" s="635" t="s">
        <v>567</v>
      </c>
      <c r="R12" s="636">
        <f>_xlfn.RRI(3,R7,R10)</f>
        <v>0.21181964896631844</v>
      </c>
      <c r="S12" s="741"/>
    </row>
    <row r="13" spans="5:26">
      <c r="L13" s="641" t="s">
        <v>658</v>
      </c>
    </row>
    <row r="15" spans="5:26">
      <c r="E15" s="632"/>
      <c r="F15" s="632" t="s">
        <v>577</v>
      </c>
      <c r="G15" s="632" t="s">
        <v>578</v>
      </c>
      <c r="H15" s="632" t="s">
        <v>640</v>
      </c>
      <c r="I15" s="632" t="s">
        <v>641</v>
      </c>
      <c r="J15" s="632" t="s">
        <v>581</v>
      </c>
      <c r="K15" s="632" t="s">
        <v>659</v>
      </c>
      <c r="L15" s="632" t="s">
        <v>583</v>
      </c>
      <c r="M15" s="632" t="s">
        <v>584</v>
      </c>
      <c r="N15" s="632" t="s">
        <v>585</v>
      </c>
      <c r="O15" s="632" t="s">
        <v>586</v>
      </c>
      <c r="P15" s="632" t="s">
        <v>587</v>
      </c>
      <c r="Q15" s="632" t="s">
        <v>588</v>
      </c>
      <c r="R15" s="632" t="s">
        <v>660</v>
      </c>
      <c r="V15" s="631"/>
    </row>
    <row r="16" spans="5:26">
      <c r="E16" s="633" t="s">
        <v>654</v>
      </c>
      <c r="F16" s="634">
        <f t="shared" ref="F16:Q16" si="1">F10</f>
        <v>852.77219024398914</v>
      </c>
      <c r="G16" s="634">
        <f t="shared" si="1"/>
        <v>913.66165022865368</v>
      </c>
      <c r="H16" s="634">
        <f t="shared" si="1"/>
        <v>1010.7232457143861</v>
      </c>
      <c r="I16" s="634">
        <f t="shared" si="1"/>
        <v>973.4609501602331</v>
      </c>
      <c r="J16" s="634">
        <f t="shared" si="1"/>
        <v>1005.586860574091</v>
      </c>
      <c r="K16" s="634">
        <f t="shared" si="1"/>
        <v>971.10660178566036</v>
      </c>
      <c r="L16" s="634">
        <f t="shared" si="1"/>
        <v>919.7522870465948</v>
      </c>
      <c r="M16" s="634">
        <f t="shared" si="1"/>
        <v>856.15109793393628</v>
      </c>
      <c r="N16" s="634">
        <f t="shared" si="1"/>
        <v>880.22631340019177</v>
      </c>
      <c r="O16" s="634">
        <f t="shared" si="1"/>
        <v>921.60190415168915</v>
      </c>
      <c r="P16" s="634">
        <f t="shared" si="1"/>
        <v>988.19382374359498</v>
      </c>
      <c r="Q16" s="634">
        <f t="shared" si="1"/>
        <v>1027.0079715613244</v>
      </c>
      <c r="R16" s="634">
        <f t="shared" ref="R16:R22" si="2">AVERAGE(F16:Q16)</f>
        <v>943.3537413786953</v>
      </c>
      <c r="T16" s="631"/>
    </row>
    <row r="17" spans="5:20">
      <c r="E17" s="633" t="s">
        <v>655</v>
      </c>
      <c r="F17" s="633">
        <f>F16*(1+$R$12)</f>
        <v>1033.4060962297094</v>
      </c>
      <c r="G17" s="633">
        <f t="shared" ref="F17:Q22" si="3">G16*(1+$R$12)</f>
        <v>1107.1931402540743</v>
      </c>
      <c r="H17" s="633">
        <f t="shared" si="3"/>
        <v>1224.8142888237053</v>
      </c>
      <c r="I17" s="633">
        <f t="shared" si="3"/>
        <v>1179.6591069055926</v>
      </c>
      <c r="J17" s="633">
        <f t="shared" si="3"/>
        <v>1218.5899163860372</v>
      </c>
      <c r="K17" s="633">
        <f t="shared" si="3"/>
        <v>1176.8060612847733</v>
      </c>
      <c r="L17" s="633">
        <f t="shared" si="3"/>
        <v>1114.5738936247731</v>
      </c>
      <c r="M17" s="633">
        <f t="shared" si="3"/>
        <v>1037.5007229604307</v>
      </c>
      <c r="N17" s="633">
        <f t="shared" si="3"/>
        <v>1066.6755421155369</v>
      </c>
      <c r="O17" s="633">
        <f t="shared" si="3"/>
        <v>1116.8152959757906</v>
      </c>
      <c r="P17" s="633">
        <f t="shared" si="3"/>
        <v>1197.5126925996472</v>
      </c>
      <c r="Q17" s="633">
        <f t="shared" si="3"/>
        <v>1244.5484395830549</v>
      </c>
      <c r="R17" s="634">
        <f t="shared" si="2"/>
        <v>1143.1745997285936</v>
      </c>
      <c r="T17" s="631"/>
    </row>
    <row r="18" spans="5:20">
      <c r="E18" s="633" t="s">
        <v>661</v>
      </c>
      <c r="F18" s="633">
        <f t="shared" si="3"/>
        <v>1252.30181277274</v>
      </c>
      <c r="G18" s="633">
        <f t="shared" si="3"/>
        <v>1341.718402560608</v>
      </c>
      <c r="H18" s="633">
        <f t="shared" si="3"/>
        <v>1484.2540215312736</v>
      </c>
      <c r="I18" s="633">
        <f t="shared" si="3"/>
        <v>1429.534084830256</v>
      </c>
      <c r="J18" s="633">
        <f t="shared" si="3"/>
        <v>1476.7112047088228</v>
      </c>
      <c r="K18" s="633">
        <f t="shared" si="3"/>
        <v>1426.0767080875498</v>
      </c>
      <c r="L18" s="633">
        <f t="shared" si="3"/>
        <v>1350.6625445193952</v>
      </c>
      <c r="M18" s="633">
        <f t="shared" si="3"/>
        <v>1257.2637619002107</v>
      </c>
      <c r="N18" s="633">
        <f t="shared" si="3"/>
        <v>1292.6183810074074</v>
      </c>
      <c r="O18" s="633">
        <f t="shared" si="3"/>
        <v>1353.3787199295975</v>
      </c>
      <c r="P18" s="633">
        <f t="shared" si="3"/>
        <v>1451.1694107788153</v>
      </c>
      <c r="Q18" s="633">
        <f t="shared" si="3"/>
        <v>1508.1682531771171</v>
      </c>
      <c r="R18" s="634">
        <f t="shared" si="2"/>
        <v>1385.321442150316</v>
      </c>
      <c r="T18" s="631"/>
    </row>
    <row r="19" spans="5:20">
      <c r="E19" s="633" t="s">
        <v>662</v>
      </c>
      <c r="F19" s="633">
        <f t="shared" si="3"/>
        <v>1517.563943154146</v>
      </c>
      <c r="G19" s="633">
        <f t="shared" si="3"/>
        <v>1625.9207236026455</v>
      </c>
      <c r="H19" s="633">
        <f t="shared" si="3"/>
        <v>1798.6481873488744</v>
      </c>
      <c r="I19" s="633">
        <f t="shared" si="3"/>
        <v>1732.3374928643882</v>
      </c>
      <c r="J19" s="633">
        <f t="shared" si="3"/>
        <v>1789.507653714875</v>
      </c>
      <c r="K19" s="633">
        <f t="shared" si="3"/>
        <v>1728.1477757936975</v>
      </c>
      <c r="L19" s="633">
        <f t="shared" si="3"/>
        <v>1636.7594105714479</v>
      </c>
      <c r="M19" s="633">
        <f t="shared" si="3"/>
        <v>1523.5769306039863</v>
      </c>
      <c r="N19" s="633">
        <f t="shared" si="3"/>
        <v>1566.4203527198072</v>
      </c>
      <c r="O19" s="633">
        <f t="shared" si="3"/>
        <v>1640.0509253035702</v>
      </c>
      <c r="P19" s="633">
        <f t="shared" si="3"/>
        <v>1758.5556059606431</v>
      </c>
      <c r="Q19" s="633">
        <f t="shared" si="3"/>
        <v>1827.6279231472397</v>
      </c>
      <c r="R19" s="634">
        <f t="shared" si="2"/>
        <v>1678.7597437321099</v>
      </c>
      <c r="T19" s="631"/>
    </row>
    <row r="20" spans="5:20">
      <c r="E20" s="633" t="s">
        <v>663</v>
      </c>
      <c r="F20" s="633">
        <f t="shared" si="3"/>
        <v>1839.0138048769993</v>
      </c>
      <c r="G20" s="633">
        <f t="shared" si="3"/>
        <v>1970.3226805232202</v>
      </c>
      <c r="H20" s="633">
        <f t="shared" si="3"/>
        <v>2179.6372150070179</v>
      </c>
      <c r="I20" s="633">
        <f t="shared" si="3"/>
        <v>2099.2806124941153</v>
      </c>
      <c r="J20" s="633">
        <f t="shared" si="3"/>
        <v>2168.5605367472999</v>
      </c>
      <c r="K20" s="633">
        <f t="shared" si="3"/>
        <v>2094.2034310242425</v>
      </c>
      <c r="L20" s="633">
        <f t="shared" si="3"/>
        <v>1983.4572143610103</v>
      </c>
      <c r="M20" s="633">
        <f t="shared" si="3"/>
        <v>1846.3004612177035</v>
      </c>
      <c r="N20" s="633">
        <f t="shared" si="3"/>
        <v>1898.2189619666135</v>
      </c>
      <c r="O20" s="633">
        <f t="shared" si="3"/>
        <v>1987.4459365882583</v>
      </c>
      <c r="P20" s="633">
        <f t="shared" si="3"/>
        <v>2131.0522371029779</v>
      </c>
      <c r="Q20" s="633">
        <f t="shared" si="3"/>
        <v>2214.7554282693295</v>
      </c>
      <c r="R20" s="634">
        <f t="shared" si="2"/>
        <v>2034.3540433482322</v>
      </c>
      <c r="T20" s="631"/>
    </row>
    <row r="21" spans="5:20">
      <c r="E21" s="633" t="s">
        <v>664</v>
      </c>
      <c r="F21" s="633">
        <f t="shared" si="3"/>
        <v>2228.5530634702591</v>
      </c>
      <c r="G21" s="633">
        <f t="shared" si="3"/>
        <v>2387.6757390620241</v>
      </c>
      <c r="H21" s="633">
        <f t="shared" si="3"/>
        <v>2641.3272047637283</v>
      </c>
      <c r="I21" s="633">
        <f t="shared" si="3"/>
        <v>2543.9494949144168</v>
      </c>
      <c r="J21" s="633">
        <f t="shared" si="3"/>
        <v>2627.9042684033243</v>
      </c>
      <c r="K21" s="633">
        <f t="shared" si="3"/>
        <v>2537.7968666478573</v>
      </c>
      <c r="L21" s="633">
        <f t="shared" si="3"/>
        <v>2403.5924252466712</v>
      </c>
      <c r="M21" s="633">
        <f t="shared" si="3"/>
        <v>2237.3831767991892</v>
      </c>
      <c r="N21" s="633">
        <f t="shared" si="3"/>
        <v>2300.2990361515908</v>
      </c>
      <c r="O21" s="633">
        <f t="shared" si="3"/>
        <v>2408.4260372159192</v>
      </c>
      <c r="P21" s="633">
        <f t="shared" si="3"/>
        <v>2582.4509738950183</v>
      </c>
      <c r="Q21" s="633">
        <f t="shared" si="3"/>
        <v>2683.8841456315872</v>
      </c>
      <c r="R21" s="634">
        <f t="shared" si="2"/>
        <v>2465.2702026834654</v>
      </c>
      <c r="T21" s="631"/>
    </row>
    <row r="22" spans="5:20">
      <c r="E22" s="633" t="s">
        <v>665</v>
      </c>
      <c r="F22" s="633">
        <f t="shared" si="3"/>
        <v>2700.6043910773428</v>
      </c>
      <c r="G22" s="633">
        <f t="shared" si="3"/>
        <v>2893.4323759555368</v>
      </c>
      <c r="H22" s="633">
        <f t="shared" si="3"/>
        <v>3200.8122060819683</v>
      </c>
      <c r="I22" s="633">
        <f t="shared" si="3"/>
        <v>3082.8079839152319</v>
      </c>
      <c r="J22" s="633">
        <f t="shared" si="3"/>
        <v>3184.5460280536063</v>
      </c>
      <c r="K22" s="633">
        <f t="shared" si="3"/>
        <v>3075.3521080890291</v>
      </c>
      <c r="L22" s="633">
        <f t="shared" si="3"/>
        <v>2912.7205290205229</v>
      </c>
      <c r="M22" s="633">
        <f t="shared" si="3"/>
        <v>2711.3048959119396</v>
      </c>
      <c r="N22" s="633">
        <f t="shared" si="3"/>
        <v>2787.5475705067815</v>
      </c>
      <c r="O22" s="633">
        <f t="shared" si="3"/>
        <v>2918.5779949803368</v>
      </c>
      <c r="P22" s="633">
        <f t="shared" si="3"/>
        <v>3129.4648326581882</v>
      </c>
      <c r="Q22" s="633">
        <f t="shared" si="3"/>
        <v>3252.3835432255373</v>
      </c>
      <c r="R22" s="634">
        <f t="shared" si="2"/>
        <v>2987.4628716230018</v>
      </c>
      <c r="T22" s="631"/>
    </row>
  </sheetData>
  <mergeCells count="1">
    <mergeCell ref="E5:R5"/>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AE164"/>
  <sheetViews>
    <sheetView showGridLines="0" view="pageBreakPreview" topLeftCell="A74" zoomScale="25" zoomScaleNormal="24" zoomScaleSheetLayoutView="90" workbookViewId="0">
      <selection activeCell="P68" sqref="P68"/>
    </sheetView>
  </sheetViews>
  <sheetFormatPr defaultColWidth="9.140625" defaultRowHeight="13.9"/>
  <cols>
    <col min="1" max="1" width="4.140625" style="1" customWidth="1"/>
    <col min="2" max="2" width="8.5703125" style="1" customWidth="1"/>
    <col min="3" max="3" width="57.42578125" style="1" customWidth="1"/>
    <col min="4" max="7" width="16.42578125" style="1" customWidth="1"/>
    <col min="8" max="16" width="15.5703125" style="1" customWidth="1"/>
    <col min="17" max="20" width="9.140625" style="1"/>
    <col min="21" max="22" width="9.140625" style="1" hidden="1" customWidth="1"/>
    <col min="23" max="24" width="16.5703125" style="1" hidden="1" customWidth="1"/>
    <col min="25" max="25" width="15.28515625" style="1" hidden="1" customWidth="1"/>
    <col min="26" max="26" width="16.5703125" style="1" hidden="1" customWidth="1"/>
    <col min="27" max="28" width="16.28515625" style="1" hidden="1" customWidth="1"/>
    <col min="29" max="31" width="14.5703125" style="1" hidden="1" customWidth="1"/>
    <col min="32" max="34" width="14.5703125" style="1" bestFit="1" customWidth="1"/>
    <col min="35" max="16384" width="9.140625" style="1"/>
  </cols>
  <sheetData>
    <row r="1" spans="2:27">
      <c r="B1" s="6"/>
    </row>
    <row r="2" spans="2:27">
      <c r="B2" s="53"/>
      <c r="C2" s="137"/>
      <c r="D2" s="137"/>
      <c r="E2" s="137"/>
      <c r="F2" s="52" t="s">
        <v>0</v>
      </c>
      <c r="G2" s="137"/>
      <c r="H2" s="137"/>
      <c r="I2" s="137"/>
      <c r="J2" s="137"/>
      <c r="K2" s="137"/>
      <c r="L2" s="137"/>
      <c r="M2" s="137"/>
      <c r="N2" s="137"/>
      <c r="O2" s="137"/>
      <c r="P2" s="137"/>
    </row>
    <row r="3" spans="2:27">
      <c r="B3" s="53"/>
      <c r="C3" s="137"/>
      <c r="D3" s="137"/>
      <c r="E3" s="137"/>
      <c r="F3" s="55" t="s">
        <v>1</v>
      </c>
      <c r="G3" s="137"/>
      <c r="H3" s="137"/>
      <c r="I3" s="137"/>
      <c r="J3" s="137"/>
      <c r="K3" s="137"/>
      <c r="L3" s="137"/>
      <c r="M3" s="137"/>
      <c r="N3" s="137"/>
      <c r="O3" s="137"/>
      <c r="P3" s="137"/>
    </row>
    <row r="4" spans="2:27">
      <c r="C4" s="137"/>
      <c r="D4" s="137"/>
      <c r="E4" s="137"/>
      <c r="F4" s="44" t="s">
        <v>574</v>
      </c>
      <c r="G4" s="137"/>
      <c r="H4" s="137"/>
      <c r="I4" s="137"/>
      <c r="J4" s="137"/>
      <c r="K4" s="137"/>
      <c r="L4" s="137"/>
      <c r="M4" s="137"/>
      <c r="N4" s="137"/>
      <c r="O4" s="137"/>
      <c r="P4" s="137"/>
    </row>
    <row r="5" spans="2:27">
      <c r="B5" s="2"/>
      <c r="C5" s="2"/>
    </row>
    <row r="6" spans="2:27">
      <c r="B6" s="8" t="s">
        <v>575</v>
      </c>
      <c r="C6" s="7"/>
      <c r="G6" s="7"/>
      <c r="I6" s="8"/>
      <c r="L6" s="8"/>
    </row>
    <row r="7" spans="2:27">
      <c r="C7" s="7"/>
      <c r="G7" s="7"/>
      <c r="I7" s="8"/>
      <c r="L7" s="8"/>
      <c r="P7" s="8" t="s">
        <v>52</v>
      </c>
    </row>
    <row r="8" spans="2:27">
      <c r="B8" s="140" t="s">
        <v>576</v>
      </c>
      <c r="C8" s="140" t="s">
        <v>53</v>
      </c>
      <c r="D8" s="141" t="s">
        <v>577</v>
      </c>
      <c r="E8" s="141" t="s">
        <v>578</v>
      </c>
      <c r="F8" s="141" t="s">
        <v>579</v>
      </c>
      <c r="G8" s="141" t="s">
        <v>580</v>
      </c>
      <c r="H8" s="141" t="s">
        <v>581</v>
      </c>
      <c r="I8" s="141" t="s">
        <v>582</v>
      </c>
      <c r="J8" s="141" t="s">
        <v>583</v>
      </c>
      <c r="K8" s="141" t="s">
        <v>584</v>
      </c>
      <c r="L8" s="141" t="s">
        <v>585</v>
      </c>
      <c r="M8" s="141" t="s">
        <v>586</v>
      </c>
      <c r="N8" s="141" t="s">
        <v>587</v>
      </c>
      <c r="O8" s="141" t="s">
        <v>588</v>
      </c>
      <c r="P8" s="141" t="s">
        <v>219</v>
      </c>
    </row>
    <row r="9" spans="2:27" s="9" customFormat="1">
      <c r="B9" s="142">
        <v>1</v>
      </c>
      <c r="C9" s="143" t="s">
        <v>589</v>
      </c>
      <c r="D9" s="10"/>
      <c r="E9" s="144"/>
      <c r="F9" s="144"/>
      <c r="G9" s="144"/>
      <c r="H9" s="144"/>
      <c r="I9" s="144"/>
      <c r="J9" s="144"/>
      <c r="K9" s="144"/>
      <c r="L9" s="144"/>
      <c r="M9" s="144"/>
      <c r="N9" s="144"/>
      <c r="O9" s="144"/>
      <c r="P9" s="144"/>
    </row>
    <row r="10" spans="2:27" s="9" customFormat="1">
      <c r="B10" s="145" t="s">
        <v>590</v>
      </c>
      <c r="C10" s="151" t="s">
        <v>591</v>
      </c>
      <c r="D10" s="144">
        <f ca="1">'F12_Excluding POA'!D41/12</f>
        <v>61.400069964878725</v>
      </c>
      <c r="E10" s="144">
        <f t="shared" ref="E10:O10" ca="1" si="0">$W$33</f>
        <v>61.400069964878725</v>
      </c>
      <c r="F10" s="144">
        <f t="shared" ca="1" si="0"/>
        <v>61.400069964878725</v>
      </c>
      <c r="G10" s="144">
        <f t="shared" ca="1" si="0"/>
        <v>61.400069964878725</v>
      </c>
      <c r="H10" s="144">
        <f t="shared" ca="1" si="0"/>
        <v>61.400069964878725</v>
      </c>
      <c r="I10" s="144">
        <f t="shared" ca="1" si="0"/>
        <v>61.400069964878725</v>
      </c>
      <c r="J10" s="144">
        <f t="shared" ca="1" si="0"/>
        <v>61.400069964878725</v>
      </c>
      <c r="K10" s="144">
        <f t="shared" ca="1" si="0"/>
        <v>61.400069964878725</v>
      </c>
      <c r="L10" s="144">
        <f t="shared" ca="1" si="0"/>
        <v>61.400069964878725</v>
      </c>
      <c r="M10" s="144">
        <f t="shared" ca="1" si="0"/>
        <v>61.400069964878725</v>
      </c>
      <c r="N10" s="144">
        <f t="shared" ca="1" si="0"/>
        <v>61.400069964878725</v>
      </c>
      <c r="O10" s="144">
        <f t="shared" ca="1" si="0"/>
        <v>61.400069964878725</v>
      </c>
      <c r="P10" s="144">
        <f t="shared" ref="P10:P27" ca="1" si="1">SUM(D10:O10)</f>
        <v>736.80083957854492</v>
      </c>
      <c r="W10" s="322">
        <f ca="1">'F12_Excluding POA'!D41</f>
        <v>736.8008395785447</v>
      </c>
      <c r="X10" s="322">
        <f ca="1">'F12_Excluding POA'!E41</f>
        <v>775.76013144511262</v>
      </c>
      <c r="Y10" s="322">
        <f ca="1">'F12_Excluding POA'!F41</f>
        <v>785.87382664526672</v>
      </c>
      <c r="Z10" s="322">
        <f ca="1">'F12_Excluding POA'!G41</f>
        <v>802.45099195030582</v>
      </c>
      <c r="AA10" s="322">
        <f ca="1">'F12_Excluding POA'!H41</f>
        <v>802.72337003421956</v>
      </c>
    </row>
    <row r="11" spans="2:27" s="9" customFormat="1">
      <c r="B11" s="145" t="s">
        <v>592</v>
      </c>
      <c r="C11" s="151" t="s">
        <v>593</v>
      </c>
      <c r="D11" s="144">
        <f ca="1">'F12_Excluding POA'!D42/12</f>
        <v>2.5799419953516183</v>
      </c>
      <c r="E11" s="144">
        <f t="shared" ref="E11:O11" ca="1" si="2">$W34</f>
        <v>2.5799419953516183</v>
      </c>
      <c r="F11" s="144">
        <f t="shared" ca="1" si="2"/>
        <v>2.5799419953516183</v>
      </c>
      <c r="G11" s="144">
        <f t="shared" ca="1" si="2"/>
        <v>2.5799419953516183</v>
      </c>
      <c r="H11" s="144">
        <f t="shared" ca="1" si="2"/>
        <v>2.5799419953516183</v>
      </c>
      <c r="I11" s="144">
        <f t="shared" ca="1" si="2"/>
        <v>2.5799419953516183</v>
      </c>
      <c r="J11" s="144">
        <f t="shared" ca="1" si="2"/>
        <v>2.5799419953516183</v>
      </c>
      <c r="K11" s="144">
        <f t="shared" ca="1" si="2"/>
        <v>2.5799419953516183</v>
      </c>
      <c r="L11" s="144">
        <f t="shared" ca="1" si="2"/>
        <v>2.5799419953516183</v>
      </c>
      <c r="M11" s="144">
        <f t="shared" ca="1" si="2"/>
        <v>2.5799419953516183</v>
      </c>
      <c r="N11" s="144">
        <f t="shared" ca="1" si="2"/>
        <v>2.5799419953516183</v>
      </c>
      <c r="O11" s="144">
        <f t="shared" ca="1" si="2"/>
        <v>2.5799419953516183</v>
      </c>
      <c r="P11" s="144">
        <f t="shared" ca="1" si="1"/>
        <v>30.959303944219418</v>
      </c>
      <c r="W11" s="322">
        <f ca="1">'F12_Excluding POA'!D42</f>
        <v>30.959303944219418</v>
      </c>
      <c r="X11" s="322">
        <f ca="1">'F12_Excluding POA'!E42</f>
        <v>33.00121711048736</v>
      </c>
      <c r="Y11" s="322">
        <f ca="1">'F12_Excluding POA'!F42</f>
        <v>33.879273896172315</v>
      </c>
      <c r="Z11" s="322">
        <f ca="1">'F12_Excluding POA'!G42</f>
        <v>35.096332893655259</v>
      </c>
      <c r="AA11" s="322">
        <f ca="1">'F12_Excluding POA'!H42</f>
        <v>35.664139776853261</v>
      </c>
    </row>
    <row r="12" spans="2:27" s="9" customFormat="1">
      <c r="B12" s="145" t="s">
        <v>594</v>
      </c>
      <c r="C12" s="151" t="s">
        <v>595</v>
      </c>
      <c r="D12" s="144">
        <f ca="1">'F12_Excluding POA'!D43/12</f>
        <v>4.6914163488064231</v>
      </c>
      <c r="E12" s="144">
        <f t="shared" ref="E12:O12" ca="1" si="3">$W35</f>
        <v>4.6914163488064231</v>
      </c>
      <c r="F12" s="144">
        <f t="shared" ca="1" si="3"/>
        <v>4.6914163488064231</v>
      </c>
      <c r="G12" s="144">
        <f t="shared" ca="1" si="3"/>
        <v>4.6914163488064231</v>
      </c>
      <c r="H12" s="144">
        <f t="shared" ca="1" si="3"/>
        <v>4.6914163488064231</v>
      </c>
      <c r="I12" s="144">
        <f t="shared" ca="1" si="3"/>
        <v>4.6914163488064231</v>
      </c>
      <c r="J12" s="144">
        <f t="shared" ca="1" si="3"/>
        <v>4.6914163488064231</v>
      </c>
      <c r="K12" s="144">
        <f t="shared" ca="1" si="3"/>
        <v>4.6914163488064231</v>
      </c>
      <c r="L12" s="144">
        <f t="shared" ca="1" si="3"/>
        <v>4.6914163488064231</v>
      </c>
      <c r="M12" s="144">
        <f t="shared" ca="1" si="3"/>
        <v>4.6914163488064231</v>
      </c>
      <c r="N12" s="144">
        <f t="shared" ca="1" si="3"/>
        <v>4.6914163488064231</v>
      </c>
      <c r="O12" s="144">
        <f t="shared" ca="1" si="3"/>
        <v>4.6914163488064231</v>
      </c>
      <c r="P12" s="144">
        <f t="shared" ca="1" si="1"/>
        <v>56.296996185677067</v>
      </c>
      <c r="W12" s="322">
        <f ca="1">'F12_Excluding POA'!D43</f>
        <v>56.296996185677074</v>
      </c>
      <c r="X12" s="322">
        <f ca="1">'F12_Excluding POA'!E43</f>
        <v>58.87656747287761</v>
      </c>
      <c r="Y12" s="322">
        <f ca="1">'F12_Excluding POA'!F43</f>
        <v>59.301422242349204</v>
      </c>
      <c r="Z12" s="322">
        <f ca="1">'F12_Excluding POA'!G43</f>
        <v>60.271395390139986</v>
      </c>
      <c r="AA12" s="322">
        <f ca="1">'F12_Excluding POA'!H43</f>
        <v>60.089660306188129</v>
      </c>
    </row>
    <row r="13" spans="2:27" s="9" customFormat="1">
      <c r="B13" s="145" t="s">
        <v>596</v>
      </c>
      <c r="C13" s="151" t="s">
        <v>597</v>
      </c>
      <c r="D13" s="144">
        <f ca="1">'F12_Excluding POA'!D44/12</f>
        <v>2.3012987712140829</v>
      </c>
      <c r="E13" s="144">
        <f t="shared" ref="E13:O13" ca="1" si="4">$W36</f>
        <v>2.3012987712140829</v>
      </c>
      <c r="F13" s="144">
        <f t="shared" ca="1" si="4"/>
        <v>2.3012987712140829</v>
      </c>
      <c r="G13" s="144">
        <f t="shared" ca="1" si="4"/>
        <v>2.3012987712140829</v>
      </c>
      <c r="H13" s="144">
        <f t="shared" ca="1" si="4"/>
        <v>2.3012987712140829</v>
      </c>
      <c r="I13" s="144">
        <f t="shared" ca="1" si="4"/>
        <v>2.3012987712140829</v>
      </c>
      <c r="J13" s="144">
        <f t="shared" ca="1" si="4"/>
        <v>2.3012987712140829</v>
      </c>
      <c r="K13" s="144">
        <f t="shared" ca="1" si="4"/>
        <v>2.3012987712140829</v>
      </c>
      <c r="L13" s="144">
        <f t="shared" ca="1" si="4"/>
        <v>2.3012987712140829</v>
      </c>
      <c r="M13" s="144">
        <f t="shared" ca="1" si="4"/>
        <v>2.3012987712140829</v>
      </c>
      <c r="N13" s="144">
        <f t="shared" ca="1" si="4"/>
        <v>2.3012987712140829</v>
      </c>
      <c r="O13" s="144">
        <f t="shared" ca="1" si="4"/>
        <v>2.3012987712140829</v>
      </c>
      <c r="P13" s="144">
        <f t="shared" ca="1" si="1"/>
        <v>27.615585254568987</v>
      </c>
      <c r="W13" s="322">
        <f ca="1">'F12_Excluding POA'!D44</f>
        <v>27.615585254568995</v>
      </c>
      <c r="X13" s="322">
        <f ca="1">'F12_Excluding POA'!E44</f>
        <v>27.77282926055134</v>
      </c>
      <c r="Y13" s="322">
        <f ca="1">'F12_Excluding POA'!F44</f>
        <v>26.899943270604219</v>
      </c>
      <c r="Z13" s="322">
        <f ca="1">'F12_Excluding POA'!G44</f>
        <v>26.29094000970969</v>
      </c>
      <c r="AA13" s="322">
        <f ca="1">'F12_Excluding POA'!H44</f>
        <v>25.205959257744496</v>
      </c>
    </row>
    <row r="14" spans="2:27" s="9" customFormat="1">
      <c r="B14" s="145" t="s">
        <v>598</v>
      </c>
      <c r="C14" s="151" t="s">
        <v>599</v>
      </c>
      <c r="D14" s="144">
        <f ca="1">'F12_Excluding POA'!D45/12</f>
        <v>1.4358713336054543</v>
      </c>
      <c r="E14" s="144">
        <f t="shared" ref="E14:O14" ca="1" si="5">$W37</f>
        <v>1.4358713336054543</v>
      </c>
      <c r="F14" s="144">
        <f t="shared" ca="1" si="5"/>
        <v>1.4358713336054543</v>
      </c>
      <c r="G14" s="144">
        <f t="shared" ca="1" si="5"/>
        <v>1.4358713336054543</v>
      </c>
      <c r="H14" s="144">
        <f t="shared" ca="1" si="5"/>
        <v>1.4358713336054543</v>
      </c>
      <c r="I14" s="144">
        <f t="shared" ca="1" si="5"/>
        <v>1.4358713336054543</v>
      </c>
      <c r="J14" s="144">
        <f t="shared" ca="1" si="5"/>
        <v>1.4358713336054543</v>
      </c>
      <c r="K14" s="144">
        <f t="shared" ca="1" si="5"/>
        <v>1.4358713336054543</v>
      </c>
      <c r="L14" s="144">
        <f t="shared" ca="1" si="5"/>
        <v>1.4358713336054543</v>
      </c>
      <c r="M14" s="144">
        <f t="shared" ca="1" si="5"/>
        <v>1.4358713336054543</v>
      </c>
      <c r="N14" s="144">
        <f t="shared" ca="1" si="5"/>
        <v>1.4358713336054543</v>
      </c>
      <c r="O14" s="144">
        <f t="shared" ca="1" si="5"/>
        <v>1.4358713336054543</v>
      </c>
      <c r="P14" s="144">
        <f t="shared" ca="1" si="1"/>
        <v>17.230456003265456</v>
      </c>
      <c r="W14" s="322">
        <f ca="1">'F12_Excluding POA'!D45</f>
        <v>17.230456003265452</v>
      </c>
      <c r="X14" s="322">
        <f ca="1">'F12_Excluding POA'!E45</f>
        <v>18.131806473768663</v>
      </c>
      <c r="Y14" s="322">
        <f ca="1">'F12_Excluding POA'!F45</f>
        <v>18.375990013677388</v>
      </c>
      <c r="Z14" s="322">
        <f ca="1">'F12_Excluding POA'!G45</f>
        <v>18.792472677931684</v>
      </c>
      <c r="AA14" s="322">
        <f ca="1">'F12_Excluding POA'!H45</f>
        <v>18.852088700650906</v>
      </c>
    </row>
    <row r="15" spans="2:27" s="9" customFormat="1">
      <c r="B15" s="145" t="s">
        <v>600</v>
      </c>
      <c r="C15" s="151" t="s">
        <v>601</v>
      </c>
      <c r="D15" s="144">
        <f ca="1">'F12_Excluding POA'!D46/12</f>
        <v>2.6789537728108676E-2</v>
      </c>
      <c r="E15" s="144">
        <f t="shared" ref="E15:O15" ca="1" si="6">$W38</f>
        <v>2.6789537728108676E-2</v>
      </c>
      <c r="F15" s="144">
        <f t="shared" ca="1" si="6"/>
        <v>2.6789537728108676E-2</v>
      </c>
      <c r="G15" s="144">
        <f t="shared" ca="1" si="6"/>
        <v>2.6789537728108676E-2</v>
      </c>
      <c r="H15" s="144">
        <f t="shared" ca="1" si="6"/>
        <v>2.6789537728108676E-2</v>
      </c>
      <c r="I15" s="144">
        <f t="shared" ca="1" si="6"/>
        <v>2.6789537728108676E-2</v>
      </c>
      <c r="J15" s="144">
        <f t="shared" ca="1" si="6"/>
        <v>2.6789537728108676E-2</v>
      </c>
      <c r="K15" s="144">
        <f t="shared" ca="1" si="6"/>
        <v>2.6789537728108676E-2</v>
      </c>
      <c r="L15" s="144">
        <f t="shared" ca="1" si="6"/>
        <v>2.6789537728108676E-2</v>
      </c>
      <c r="M15" s="144">
        <f t="shared" ca="1" si="6"/>
        <v>2.6789537728108676E-2</v>
      </c>
      <c r="N15" s="144">
        <f t="shared" ca="1" si="6"/>
        <v>2.6789537728108676E-2</v>
      </c>
      <c r="O15" s="144">
        <f t="shared" ca="1" si="6"/>
        <v>2.6789537728108676E-2</v>
      </c>
      <c r="P15" s="144">
        <f t="shared" ca="1" si="1"/>
        <v>0.32147445273730413</v>
      </c>
      <c r="W15" s="322">
        <f ca="1">'F12_Excluding POA'!D46</f>
        <v>0.32147445273730413</v>
      </c>
      <c r="X15" s="322">
        <f ca="1">'F12_Excluding POA'!E46</f>
        <v>0.32730986222753378</v>
      </c>
      <c r="Y15" s="322">
        <f ca="1">'F12_Excluding POA'!F46</f>
        <v>0.32094978137194613</v>
      </c>
      <c r="Z15" s="322">
        <f ca="1">'F12_Excluding POA'!G46</f>
        <v>0.31756935522887203</v>
      </c>
      <c r="AA15" s="322">
        <f ca="1">'F12_Excluding POA'!H46</f>
        <v>0.30823535828798398</v>
      </c>
    </row>
    <row r="16" spans="2:27" s="9" customFormat="1">
      <c r="B16" s="145" t="s">
        <v>602</v>
      </c>
      <c r="C16" s="151" t="s">
        <v>603</v>
      </c>
      <c r="D16" s="144">
        <f ca="1">'F12_Excluding POA'!D47/12</f>
        <v>1.3496794295169721E-2</v>
      </c>
      <c r="E16" s="144">
        <f t="shared" ref="E16:O16" ca="1" si="7">$W39</f>
        <v>1.3496794295169721E-2</v>
      </c>
      <c r="F16" s="144">
        <f t="shared" ca="1" si="7"/>
        <v>1.3496794295169721E-2</v>
      </c>
      <c r="G16" s="144">
        <f t="shared" ca="1" si="7"/>
        <v>1.3496794295169721E-2</v>
      </c>
      <c r="H16" s="144">
        <f t="shared" ca="1" si="7"/>
        <v>1.3496794295169721E-2</v>
      </c>
      <c r="I16" s="144">
        <f t="shared" ca="1" si="7"/>
        <v>1.3496794295169721E-2</v>
      </c>
      <c r="J16" s="144">
        <f t="shared" ca="1" si="7"/>
        <v>1.3496794295169721E-2</v>
      </c>
      <c r="K16" s="144">
        <f t="shared" ca="1" si="7"/>
        <v>1.3496794295169721E-2</v>
      </c>
      <c r="L16" s="144">
        <f t="shared" ca="1" si="7"/>
        <v>1.3496794295169721E-2</v>
      </c>
      <c r="M16" s="144">
        <f t="shared" ca="1" si="7"/>
        <v>1.3496794295169721E-2</v>
      </c>
      <c r="N16" s="144">
        <f t="shared" ca="1" si="7"/>
        <v>1.3496794295169721E-2</v>
      </c>
      <c r="O16" s="144">
        <f t="shared" ca="1" si="7"/>
        <v>1.3496794295169721E-2</v>
      </c>
      <c r="P16" s="144">
        <f t="shared" ca="1" si="1"/>
        <v>0.16196153154203671</v>
      </c>
      <c r="W16" s="322">
        <f ca="1">'F12_Excluding POA'!D47</f>
        <v>0.16196153154203666</v>
      </c>
      <c r="X16" s="322">
        <f ca="1">'F12_Excluding POA'!E47</f>
        <v>0.16658497817716209</v>
      </c>
      <c r="Y16" s="322">
        <f ca="1">'F12_Excluding POA'!F47</f>
        <v>0.1650156615746593</v>
      </c>
      <c r="Z16" s="322">
        <f ca="1">'F12_Excluding POA'!G47</f>
        <v>0.16494456265441304</v>
      </c>
      <c r="AA16" s="322">
        <f ca="1">'F12_Excluding POA'!H47</f>
        <v>0.16173097630685432</v>
      </c>
    </row>
    <row r="17" spans="2:27" s="9" customFormat="1">
      <c r="B17" s="145" t="s">
        <v>604</v>
      </c>
      <c r="C17" s="151" t="s">
        <v>605</v>
      </c>
      <c r="D17" s="144">
        <f ca="1">'F12_Excluding POA'!D48/12</f>
        <v>1.4895198758581288E-2</v>
      </c>
      <c r="E17" s="144">
        <f t="shared" ref="E17:O17" ca="1" si="8">$W40</f>
        <v>1.4895198758581288E-2</v>
      </c>
      <c r="F17" s="144">
        <f t="shared" ca="1" si="8"/>
        <v>1.4895198758581288E-2</v>
      </c>
      <c r="G17" s="144">
        <f t="shared" ca="1" si="8"/>
        <v>1.4895198758581288E-2</v>
      </c>
      <c r="H17" s="144">
        <f t="shared" ca="1" si="8"/>
        <v>1.4895198758581288E-2</v>
      </c>
      <c r="I17" s="144">
        <f t="shared" ca="1" si="8"/>
        <v>1.4895198758581288E-2</v>
      </c>
      <c r="J17" s="144">
        <f t="shared" ca="1" si="8"/>
        <v>1.4895198758581288E-2</v>
      </c>
      <c r="K17" s="144">
        <f t="shared" ca="1" si="8"/>
        <v>1.4895198758581288E-2</v>
      </c>
      <c r="L17" s="144">
        <f t="shared" ca="1" si="8"/>
        <v>1.4895198758581288E-2</v>
      </c>
      <c r="M17" s="144">
        <f t="shared" ca="1" si="8"/>
        <v>1.4895198758581288E-2</v>
      </c>
      <c r="N17" s="144">
        <f t="shared" ca="1" si="8"/>
        <v>1.4895198758581288E-2</v>
      </c>
      <c r="O17" s="144">
        <f t="shared" ca="1" si="8"/>
        <v>1.4895198758581288E-2</v>
      </c>
      <c r="P17" s="144">
        <f t="shared" ca="1" si="1"/>
        <v>0.17874238510297544</v>
      </c>
      <c r="W17" s="322">
        <f ca="1">'F12_Excluding POA'!D48</f>
        <v>0.17874238510297547</v>
      </c>
      <c r="X17" s="322">
        <f ca="1">'F12_Excluding POA'!E48</f>
        <v>0.18184808842058381</v>
      </c>
      <c r="Y17" s="322">
        <f ca="1">'F12_Excluding POA'!F48</f>
        <v>0.17817850009506891</v>
      </c>
      <c r="Z17" s="322">
        <f ca="1">'F12_Excluding POA'!G48</f>
        <v>0.1761673281098928</v>
      </c>
      <c r="AA17" s="322">
        <f ca="1">'F12_Excluding POA'!H48</f>
        <v>0.17085897710246711</v>
      </c>
    </row>
    <row r="18" spans="2:27" s="9" customFormat="1">
      <c r="B18" s="145" t="s">
        <v>606</v>
      </c>
      <c r="C18" s="151" t="s">
        <v>607</v>
      </c>
      <c r="D18" s="144">
        <f ca="1">'F12_Excluding POA'!D49/12</f>
        <v>2.1876186891489336E-2</v>
      </c>
      <c r="E18" s="144">
        <f t="shared" ref="E18:O18" ca="1" si="9">$W41</f>
        <v>2.1876186891489336E-2</v>
      </c>
      <c r="F18" s="144">
        <f t="shared" ca="1" si="9"/>
        <v>2.1876186891489336E-2</v>
      </c>
      <c r="G18" s="144">
        <f t="shared" ca="1" si="9"/>
        <v>2.1876186891489336E-2</v>
      </c>
      <c r="H18" s="144">
        <f t="shared" ca="1" si="9"/>
        <v>2.1876186891489336E-2</v>
      </c>
      <c r="I18" s="144">
        <f t="shared" ca="1" si="9"/>
        <v>2.1876186891489336E-2</v>
      </c>
      <c r="J18" s="144">
        <f t="shared" ca="1" si="9"/>
        <v>2.1876186891489336E-2</v>
      </c>
      <c r="K18" s="144">
        <f t="shared" ca="1" si="9"/>
        <v>2.1876186891489336E-2</v>
      </c>
      <c r="L18" s="144">
        <f t="shared" ca="1" si="9"/>
        <v>2.1876186891489336E-2</v>
      </c>
      <c r="M18" s="144">
        <f t="shared" ca="1" si="9"/>
        <v>2.1876186891489336E-2</v>
      </c>
      <c r="N18" s="144">
        <f t="shared" ca="1" si="9"/>
        <v>2.1876186891489336E-2</v>
      </c>
      <c r="O18" s="144">
        <f t="shared" ca="1" si="9"/>
        <v>2.1876186891489336E-2</v>
      </c>
      <c r="P18" s="144">
        <f t="shared" ca="1" si="1"/>
        <v>0.2625142426978721</v>
      </c>
      <c r="W18" s="322">
        <f ca="1">'F12_Excluding POA'!D49</f>
        <v>0.26251424269787205</v>
      </c>
      <c r="X18" s="322">
        <f ca="1">'F12_Excluding POA'!E49</f>
        <v>0.31140577923823282</v>
      </c>
      <c r="Y18" s="322">
        <f ca="1">'F12_Excluding POA'!F49</f>
        <v>0.35576714006678412</v>
      </c>
      <c r="Z18" s="322">
        <f ca="1">'F12_Excluding POA'!G49</f>
        <v>0.41013658149240695</v>
      </c>
      <c r="AA18" s="322">
        <f ca="1">'F12_Excluding POA'!H49</f>
        <v>0.46380299366989275</v>
      </c>
    </row>
    <row r="19" spans="2:27" s="9" customFormat="1">
      <c r="B19" s="145" t="s">
        <v>608</v>
      </c>
      <c r="C19" s="151" t="s">
        <v>609</v>
      </c>
      <c r="D19" s="144">
        <f ca="1">'F12_Excluding POA'!D50/12</f>
        <v>3.8539087532049369E-2</v>
      </c>
      <c r="E19" s="144">
        <f t="shared" ref="E19:O19" ca="1" si="10">$W42</f>
        <v>3.8539087532049369E-2</v>
      </c>
      <c r="F19" s="144">
        <f t="shared" ca="1" si="10"/>
        <v>3.8539087532049369E-2</v>
      </c>
      <c r="G19" s="144">
        <f t="shared" ca="1" si="10"/>
        <v>3.8539087532049369E-2</v>
      </c>
      <c r="H19" s="144">
        <f t="shared" ca="1" si="10"/>
        <v>3.8539087532049369E-2</v>
      </c>
      <c r="I19" s="144">
        <f t="shared" ca="1" si="10"/>
        <v>3.8539087532049369E-2</v>
      </c>
      <c r="J19" s="144">
        <f t="shared" ca="1" si="10"/>
        <v>3.8539087532049369E-2</v>
      </c>
      <c r="K19" s="144">
        <f t="shared" ca="1" si="10"/>
        <v>3.8539087532049369E-2</v>
      </c>
      <c r="L19" s="144">
        <f t="shared" ca="1" si="10"/>
        <v>3.8539087532049369E-2</v>
      </c>
      <c r="M19" s="144">
        <f t="shared" ca="1" si="10"/>
        <v>3.8539087532049369E-2</v>
      </c>
      <c r="N19" s="144">
        <f t="shared" ca="1" si="10"/>
        <v>3.8539087532049369E-2</v>
      </c>
      <c r="O19" s="144">
        <f t="shared" ca="1" si="10"/>
        <v>3.8539087532049369E-2</v>
      </c>
      <c r="P19" s="144">
        <f t="shared" ca="1" si="1"/>
        <v>0.46246905038459246</v>
      </c>
      <c r="W19" s="322">
        <f ca="1">'F12_Excluding POA'!D50</f>
        <v>0.46246905038459246</v>
      </c>
      <c r="X19" s="322">
        <f ca="1">'F12_Excluding POA'!E50</f>
        <v>0.49818444927605532</v>
      </c>
      <c r="Y19" s="322">
        <f ca="1">'F12_Excluding POA'!F50</f>
        <v>0.51684822282805287</v>
      </c>
      <c r="Z19" s="322">
        <f ca="1">'F12_Excluding POA'!G50</f>
        <v>0.54107740416050354</v>
      </c>
      <c r="AA19" s="322">
        <f ca="1">'F12_Excluding POA'!H50</f>
        <v>0.55564592540073177</v>
      </c>
    </row>
    <row r="20" spans="2:27" s="9" customFormat="1">
      <c r="B20" s="145" t="s">
        <v>610</v>
      </c>
      <c r="C20" s="151" t="s">
        <v>611</v>
      </c>
      <c r="D20" s="144">
        <f ca="1">'F12_Excluding POA'!D51/12</f>
        <v>2.2973975722730976E-2</v>
      </c>
      <c r="E20" s="144">
        <f t="shared" ref="E20:O20" ca="1" si="11">$W43</f>
        <v>2.2973975722730976E-2</v>
      </c>
      <c r="F20" s="144">
        <f t="shared" ca="1" si="11"/>
        <v>2.2973975722730976E-2</v>
      </c>
      <c r="G20" s="144">
        <f t="shared" ca="1" si="11"/>
        <v>2.2973975722730976E-2</v>
      </c>
      <c r="H20" s="144">
        <f t="shared" ca="1" si="11"/>
        <v>2.2973975722730976E-2</v>
      </c>
      <c r="I20" s="144">
        <f t="shared" ca="1" si="11"/>
        <v>2.2973975722730976E-2</v>
      </c>
      <c r="J20" s="144">
        <f t="shared" ca="1" si="11"/>
        <v>2.2973975722730976E-2</v>
      </c>
      <c r="K20" s="144">
        <f t="shared" ca="1" si="11"/>
        <v>2.2973975722730976E-2</v>
      </c>
      <c r="L20" s="144">
        <f t="shared" ca="1" si="11"/>
        <v>2.2973975722730976E-2</v>
      </c>
      <c r="M20" s="144">
        <f t="shared" ca="1" si="11"/>
        <v>2.2973975722730976E-2</v>
      </c>
      <c r="N20" s="144">
        <f t="shared" ca="1" si="11"/>
        <v>2.2973975722730976E-2</v>
      </c>
      <c r="O20" s="144">
        <f t="shared" ca="1" si="11"/>
        <v>2.2973975722730976E-2</v>
      </c>
      <c r="P20" s="144">
        <f t="shared" ca="1" si="1"/>
        <v>0.27568770867277165</v>
      </c>
      <c r="W20" s="322">
        <f ca="1">'F12_Excluding POA'!D51</f>
        <v>0.2756877086727717</v>
      </c>
      <c r="X20" s="322">
        <f ca="1">'F12_Excluding POA'!E51</f>
        <v>0.2749800213919954</v>
      </c>
      <c r="Y20" s="322">
        <f ca="1">'F12_Excluding POA'!F51</f>
        <v>0.26414977568790959</v>
      </c>
      <c r="Z20" s="322">
        <f ca="1">'F12_Excluding POA'!G51</f>
        <v>0.25604886865429327</v>
      </c>
      <c r="AA20" s="322">
        <f ca="1">'F12_Excluding POA'!H51</f>
        <v>0.24346573165230656</v>
      </c>
    </row>
    <row r="21" spans="2:27" s="9" customFormat="1">
      <c r="B21" s="145" t="s">
        <v>612</v>
      </c>
      <c r="C21" s="151" t="s">
        <v>613</v>
      </c>
      <c r="D21" s="144">
        <f ca="1">'F12_Excluding POA'!D52/12</f>
        <v>1.5409956493794617E-2</v>
      </c>
      <c r="E21" s="144">
        <f t="shared" ref="E21:O21" ca="1" si="12">$W44</f>
        <v>1.5409956493794617E-2</v>
      </c>
      <c r="F21" s="144">
        <f t="shared" ca="1" si="12"/>
        <v>1.5409956493794617E-2</v>
      </c>
      <c r="G21" s="144">
        <f t="shared" ca="1" si="12"/>
        <v>1.5409956493794617E-2</v>
      </c>
      <c r="H21" s="144">
        <f t="shared" ca="1" si="12"/>
        <v>1.5409956493794617E-2</v>
      </c>
      <c r="I21" s="144">
        <f t="shared" ca="1" si="12"/>
        <v>1.5409956493794617E-2</v>
      </c>
      <c r="J21" s="144">
        <f t="shared" ca="1" si="12"/>
        <v>1.5409956493794617E-2</v>
      </c>
      <c r="K21" s="144">
        <f t="shared" ca="1" si="12"/>
        <v>1.5409956493794617E-2</v>
      </c>
      <c r="L21" s="144">
        <f t="shared" ca="1" si="12"/>
        <v>1.5409956493794617E-2</v>
      </c>
      <c r="M21" s="144">
        <f t="shared" ca="1" si="12"/>
        <v>1.5409956493794617E-2</v>
      </c>
      <c r="N21" s="144">
        <f t="shared" ca="1" si="12"/>
        <v>1.5409956493794617E-2</v>
      </c>
      <c r="O21" s="144">
        <f t="shared" ca="1" si="12"/>
        <v>1.5409956493794617E-2</v>
      </c>
      <c r="P21" s="144">
        <f t="shared" ca="1" si="1"/>
        <v>0.1849194779255354</v>
      </c>
      <c r="W21" s="322">
        <f ca="1">'F12_Excluding POA'!D52</f>
        <v>0.1849194779255354</v>
      </c>
      <c r="X21" s="322">
        <f ca="1">'F12_Excluding POA'!E52</f>
        <v>0.1844447916831719</v>
      </c>
      <c r="Y21" s="322">
        <f ca="1">'F12_Excluding POA'!F52</f>
        <v>0.17718032787719948</v>
      </c>
      <c r="Z21" s="322">
        <f ca="1">'F12_Excluding POA'!G52</f>
        <v>0.17174658726325828</v>
      </c>
      <c r="AA21" s="322">
        <f ca="1">'F12_Excluding POA'!H52</f>
        <v>0.16330635923758757</v>
      </c>
    </row>
    <row r="22" spans="2:27" s="9" customFormat="1">
      <c r="B22" s="145" t="s">
        <v>614</v>
      </c>
      <c r="C22" s="151" t="s">
        <v>615</v>
      </c>
      <c r="D22" s="144">
        <f ca="1">'F12_Excluding POA'!D53/12</f>
        <v>4.3220655347543458E-3</v>
      </c>
      <c r="E22" s="144">
        <f t="shared" ref="E22:O22" ca="1" si="13">$W45</f>
        <v>4.3220655347543458E-3</v>
      </c>
      <c r="F22" s="144">
        <f t="shared" ca="1" si="13"/>
        <v>4.3220655347543458E-3</v>
      </c>
      <c r="G22" s="144">
        <f t="shared" ca="1" si="13"/>
        <v>4.3220655347543458E-3</v>
      </c>
      <c r="H22" s="144">
        <f t="shared" ca="1" si="13"/>
        <v>4.3220655347543458E-3</v>
      </c>
      <c r="I22" s="144">
        <f t="shared" ca="1" si="13"/>
        <v>4.3220655347543458E-3</v>
      </c>
      <c r="J22" s="144">
        <f t="shared" ca="1" si="13"/>
        <v>4.3220655347543458E-3</v>
      </c>
      <c r="K22" s="144">
        <f t="shared" ca="1" si="13"/>
        <v>4.3220655347543458E-3</v>
      </c>
      <c r="L22" s="144">
        <f t="shared" ca="1" si="13"/>
        <v>4.3220655347543458E-3</v>
      </c>
      <c r="M22" s="144">
        <f t="shared" ca="1" si="13"/>
        <v>4.3220655347543458E-3</v>
      </c>
      <c r="N22" s="144">
        <f t="shared" ca="1" si="13"/>
        <v>4.3220655347543458E-3</v>
      </c>
      <c r="O22" s="144">
        <f t="shared" ca="1" si="13"/>
        <v>4.3220655347543458E-3</v>
      </c>
      <c r="P22" s="144">
        <f t="shared" ca="1" si="1"/>
        <v>5.1864786417052146E-2</v>
      </c>
      <c r="W22" s="322">
        <f ca="1">'F12_Excluding POA'!D53</f>
        <v>5.1864786417052146E-2</v>
      </c>
      <c r="X22" s="322">
        <f ca="1">'F12_Excluding POA'!E53</f>
        <v>5.7875908583371147E-2</v>
      </c>
      <c r="Y22" s="322">
        <f ca="1">'F12_Excluding POA'!F53</f>
        <v>6.2199718250269327E-2</v>
      </c>
      <c r="Z22" s="322">
        <f ca="1">'F12_Excluding POA'!G53</f>
        <v>6.74531946511015E-2</v>
      </c>
      <c r="AA22" s="322">
        <f ca="1">'F12_Excluding POA'!H53</f>
        <v>7.1756127758286312E-2</v>
      </c>
    </row>
    <row r="23" spans="2:27" s="9" customFormat="1">
      <c r="B23" s="145" t="s">
        <v>616</v>
      </c>
      <c r="C23" s="151" t="s">
        <v>617</v>
      </c>
      <c r="D23" s="144">
        <f ca="1">'F12_Excluding POA'!D54/12</f>
        <v>1.7149318121744287E-3</v>
      </c>
      <c r="E23" s="144">
        <f t="shared" ref="E23:O23" ca="1" si="14">$W46</f>
        <v>1.7149318121744287E-3</v>
      </c>
      <c r="F23" s="144">
        <f t="shared" ca="1" si="14"/>
        <v>1.7149318121744287E-3</v>
      </c>
      <c r="G23" s="144">
        <f t="shared" ca="1" si="14"/>
        <v>1.7149318121744287E-3</v>
      </c>
      <c r="H23" s="144">
        <f t="shared" ca="1" si="14"/>
        <v>1.7149318121744287E-3</v>
      </c>
      <c r="I23" s="144">
        <f t="shared" ca="1" si="14"/>
        <v>1.7149318121744287E-3</v>
      </c>
      <c r="J23" s="144">
        <f t="shared" ca="1" si="14"/>
        <v>1.7149318121744287E-3</v>
      </c>
      <c r="K23" s="144">
        <f t="shared" ca="1" si="14"/>
        <v>1.7149318121744287E-3</v>
      </c>
      <c r="L23" s="144">
        <f t="shared" ca="1" si="14"/>
        <v>1.7149318121744287E-3</v>
      </c>
      <c r="M23" s="144">
        <f t="shared" ca="1" si="14"/>
        <v>1.7149318121744287E-3</v>
      </c>
      <c r="N23" s="144">
        <f t="shared" ca="1" si="14"/>
        <v>1.7149318121744287E-3</v>
      </c>
      <c r="O23" s="144">
        <f t="shared" ca="1" si="14"/>
        <v>1.7149318121744287E-3</v>
      </c>
      <c r="P23" s="144">
        <f t="shared" ca="1" si="1"/>
        <v>2.0579181746093137E-2</v>
      </c>
      <c r="W23" s="322">
        <f ca="1">'F12_Excluding POA'!D54</f>
        <v>2.0579181746093144E-2</v>
      </c>
      <c r="X23" s="322">
        <f ca="1">'F12_Excluding POA'!E54</f>
        <v>2.0920010841987986E-2</v>
      </c>
      <c r="Y23" s="322">
        <f ca="1">'F12_Excluding POA'!F54</f>
        <v>2.0481467709003835E-2</v>
      </c>
      <c r="Z23" s="322">
        <f ca="1">'F12_Excluding POA'!G54</f>
        <v>2.0234093624150837E-2</v>
      </c>
      <c r="AA23" s="322">
        <f ca="1">'F12_Excluding POA'!H54</f>
        <v>1.9608699941713725E-2</v>
      </c>
    </row>
    <row r="24" spans="2:27" s="9" customFormat="1">
      <c r="B24" s="145" t="s">
        <v>618</v>
      </c>
      <c r="C24" s="151" t="s">
        <v>619</v>
      </c>
      <c r="D24" s="144">
        <f ca="1">'F12_Excluding POA'!D55/12</f>
        <v>7.8834839014837579E-2</v>
      </c>
      <c r="E24" s="144">
        <f t="shared" ref="E24:O24" ca="1" si="15">$W47</f>
        <v>7.8834839014837579E-2</v>
      </c>
      <c r="F24" s="144">
        <f t="shared" ca="1" si="15"/>
        <v>7.8834839014837579E-2</v>
      </c>
      <c r="G24" s="144">
        <f t="shared" ca="1" si="15"/>
        <v>7.8834839014837579E-2</v>
      </c>
      <c r="H24" s="144">
        <f t="shared" ca="1" si="15"/>
        <v>7.8834839014837579E-2</v>
      </c>
      <c r="I24" s="144">
        <f t="shared" ca="1" si="15"/>
        <v>7.8834839014837579E-2</v>
      </c>
      <c r="J24" s="144">
        <f t="shared" ca="1" si="15"/>
        <v>7.8834839014837579E-2</v>
      </c>
      <c r="K24" s="144">
        <f t="shared" ca="1" si="15"/>
        <v>7.8834839014837579E-2</v>
      </c>
      <c r="L24" s="144">
        <f t="shared" ca="1" si="15"/>
        <v>7.8834839014837579E-2</v>
      </c>
      <c r="M24" s="144">
        <f t="shared" ca="1" si="15"/>
        <v>7.8834839014837579E-2</v>
      </c>
      <c r="N24" s="144">
        <f t="shared" ca="1" si="15"/>
        <v>7.8834839014837579E-2</v>
      </c>
      <c r="O24" s="144">
        <f t="shared" ca="1" si="15"/>
        <v>7.8834839014837579E-2</v>
      </c>
      <c r="P24" s="144">
        <f t="shared" ca="1" si="1"/>
        <v>0.9460180681780509</v>
      </c>
      <c r="W24" s="322">
        <f ca="1">'F12_Excluding POA'!D55</f>
        <v>0.9460180681780509</v>
      </c>
      <c r="X24" s="322">
        <f ca="1">'F12_Excluding POA'!E55</f>
        <v>0.98453404079304874</v>
      </c>
      <c r="Y24" s="322">
        <f ca="1">'F12_Excluding POA'!F55</f>
        <v>0.98679606609950232</v>
      </c>
      <c r="Z24" s="322">
        <f ca="1">'F12_Excluding POA'!G55</f>
        <v>0.99803918410506631</v>
      </c>
      <c r="AA24" s="322">
        <f ca="1">'F12_Excluding POA'!H55</f>
        <v>0.99017085984799413</v>
      </c>
    </row>
    <row r="25" spans="2:27" s="9" customFormat="1">
      <c r="B25" s="145"/>
      <c r="C25" s="151" t="s">
        <v>620</v>
      </c>
      <c r="D25" s="144">
        <f ca="1">'F12_Excluding POA'!D56/12</f>
        <v>4.2996506786021495E-2</v>
      </c>
      <c r="E25" s="144">
        <f t="shared" ref="E25:O25" ca="1" si="16">$W48</f>
        <v>4.2996506786021495E-2</v>
      </c>
      <c r="F25" s="144">
        <f t="shared" ca="1" si="16"/>
        <v>4.2996506786021495E-2</v>
      </c>
      <c r="G25" s="144">
        <f t="shared" ca="1" si="16"/>
        <v>4.2996506786021495E-2</v>
      </c>
      <c r="H25" s="144">
        <f t="shared" ca="1" si="16"/>
        <v>4.2996506786021495E-2</v>
      </c>
      <c r="I25" s="144">
        <f t="shared" ca="1" si="16"/>
        <v>4.2996506786021495E-2</v>
      </c>
      <c r="J25" s="144">
        <f t="shared" ca="1" si="16"/>
        <v>4.2996506786021495E-2</v>
      </c>
      <c r="K25" s="144">
        <f t="shared" ca="1" si="16"/>
        <v>4.2996506786021495E-2</v>
      </c>
      <c r="L25" s="144">
        <f t="shared" ca="1" si="16"/>
        <v>4.2996506786021495E-2</v>
      </c>
      <c r="M25" s="144">
        <f t="shared" ca="1" si="16"/>
        <v>4.2996506786021495E-2</v>
      </c>
      <c r="N25" s="144">
        <f t="shared" ca="1" si="16"/>
        <v>4.2996506786021495E-2</v>
      </c>
      <c r="O25" s="144">
        <f t="shared" ca="1" si="16"/>
        <v>4.2996506786021495E-2</v>
      </c>
      <c r="P25" s="144">
        <f t="shared" ca="1" si="1"/>
        <v>0.51595808143225808</v>
      </c>
      <c r="W25" s="322">
        <f ca="1">'F12_Excluding POA'!D56</f>
        <v>0.51595808143225796</v>
      </c>
      <c r="X25" s="322">
        <f ca="1">'F12_Excluding POA'!E56</f>
        <v>0.51463362277793068</v>
      </c>
      <c r="Y25" s="322">
        <f ca="1">'F12_Excluding POA'!F56</f>
        <v>0.49436448266348071</v>
      </c>
      <c r="Z25" s="322">
        <f ca="1">'F12_Excluding POA'!G56</f>
        <v>0.4792033843648007</v>
      </c>
      <c r="AA25" s="322">
        <f ca="1">'F12_Excluding POA'!H56</f>
        <v>0.4556536539208858</v>
      </c>
    </row>
    <row r="26" spans="2:27" s="9" customFormat="1">
      <c r="B26" s="145"/>
      <c r="C26" s="151" t="s">
        <v>621</v>
      </c>
      <c r="D26" s="144">
        <f ca="1">'F12_Excluding POA'!D57/12</f>
        <v>3.0108522671234431E-2</v>
      </c>
      <c r="E26" s="144">
        <f t="shared" ref="E26:O26" ca="1" si="17">$W49</f>
        <v>3.0108522671234431E-2</v>
      </c>
      <c r="F26" s="144">
        <f t="shared" ca="1" si="17"/>
        <v>3.0108522671234431E-2</v>
      </c>
      <c r="G26" s="144">
        <f t="shared" ca="1" si="17"/>
        <v>3.0108522671234431E-2</v>
      </c>
      <c r="H26" s="144">
        <f t="shared" ca="1" si="17"/>
        <v>3.0108522671234431E-2</v>
      </c>
      <c r="I26" s="144">
        <f t="shared" ca="1" si="17"/>
        <v>3.0108522671234431E-2</v>
      </c>
      <c r="J26" s="144">
        <f t="shared" ca="1" si="17"/>
        <v>3.0108522671234431E-2</v>
      </c>
      <c r="K26" s="144">
        <f t="shared" ca="1" si="17"/>
        <v>3.0108522671234431E-2</v>
      </c>
      <c r="L26" s="144">
        <f t="shared" ca="1" si="17"/>
        <v>3.0108522671234431E-2</v>
      </c>
      <c r="M26" s="144">
        <f t="shared" ca="1" si="17"/>
        <v>3.0108522671234431E-2</v>
      </c>
      <c r="N26" s="144">
        <f t="shared" ca="1" si="17"/>
        <v>3.0108522671234431E-2</v>
      </c>
      <c r="O26" s="144">
        <f t="shared" ca="1" si="17"/>
        <v>3.0108522671234431E-2</v>
      </c>
      <c r="P26" s="144">
        <f t="shared" ca="1" si="1"/>
        <v>0.36130227205481319</v>
      </c>
      <c r="W26" s="322">
        <f ca="1">'F12_Excluding POA'!D57</f>
        <v>0.36130227205481319</v>
      </c>
      <c r="X26" s="322">
        <f ca="1">'F12_Excluding POA'!E57</f>
        <v>0.36037481314240938</v>
      </c>
      <c r="Y26" s="322">
        <f ca="1">'F12_Excluding POA'!F57</f>
        <v>0.3461812446346359</v>
      </c>
      <c r="Z26" s="322">
        <f ca="1">'F12_Excluding POA'!G57</f>
        <v>0.33556460840140989</v>
      </c>
      <c r="AA26" s="322">
        <f ca="1">'F12_Excluding POA'!H57</f>
        <v>0.31907378982164131</v>
      </c>
    </row>
    <row r="27" spans="2:27" s="9" customFormat="1">
      <c r="B27" s="145"/>
      <c r="C27" s="151" t="s">
        <v>622</v>
      </c>
      <c r="D27" s="144">
        <f ca="1">'F12_Excluding POA'!D58/12</f>
        <v>5.6692911302070791E-2</v>
      </c>
      <c r="E27" s="144">
        <f t="shared" ref="E27:O27" ca="1" si="18">$W50</f>
        <v>5.6692911302070791E-2</v>
      </c>
      <c r="F27" s="144">
        <f t="shared" ca="1" si="18"/>
        <v>5.6692911302070791E-2</v>
      </c>
      <c r="G27" s="144">
        <f t="shared" ca="1" si="18"/>
        <v>5.6692911302070791E-2</v>
      </c>
      <c r="H27" s="144">
        <f t="shared" ca="1" si="18"/>
        <v>5.6692911302070791E-2</v>
      </c>
      <c r="I27" s="144">
        <f t="shared" ca="1" si="18"/>
        <v>5.6692911302070791E-2</v>
      </c>
      <c r="J27" s="144">
        <f t="shared" ca="1" si="18"/>
        <v>5.6692911302070791E-2</v>
      </c>
      <c r="K27" s="144">
        <f t="shared" ca="1" si="18"/>
        <v>5.6692911302070791E-2</v>
      </c>
      <c r="L27" s="144">
        <f t="shared" ca="1" si="18"/>
        <v>5.6692911302070791E-2</v>
      </c>
      <c r="M27" s="144">
        <f t="shared" ca="1" si="18"/>
        <v>5.6692911302070791E-2</v>
      </c>
      <c r="N27" s="144">
        <f t="shared" ca="1" si="18"/>
        <v>5.6692911302070791E-2</v>
      </c>
      <c r="O27" s="144">
        <f t="shared" ca="1" si="18"/>
        <v>5.6692911302070791E-2</v>
      </c>
      <c r="P27" s="144">
        <f t="shared" ca="1" si="1"/>
        <v>0.68031493562484935</v>
      </c>
      <c r="W27" s="322">
        <f ca="1">'F12_Excluding POA'!D59</f>
        <v>0.68031493562484946</v>
      </c>
      <c r="X27" s="322">
        <f ca="1">'F12_Excluding POA'!E59</f>
        <v>0.67856857475449495</v>
      </c>
      <c r="Y27" s="322">
        <f ca="1">'F12_Excluding POA'!F59</f>
        <v>0.65184276262290697</v>
      </c>
      <c r="Z27" s="322">
        <f ca="1">'F12_Excluding POA'!G59</f>
        <v>0.63185214326011541</v>
      </c>
      <c r="AA27" s="322">
        <f ca="1">'F12_Excluding POA'!H59</f>
        <v>0.60080071887606301</v>
      </c>
    </row>
    <row r="28" spans="2:27" s="9" customFormat="1">
      <c r="B28" s="145"/>
      <c r="C28" s="146"/>
      <c r="D28" s="144">
        <f ca="1">'F12_Excluding POA'!D59/12</f>
        <v>5.6692911302070791E-2</v>
      </c>
      <c r="E28" s="144"/>
      <c r="F28" s="144"/>
      <c r="G28" s="144"/>
      <c r="H28" s="144"/>
      <c r="I28" s="144"/>
      <c r="J28" s="144"/>
      <c r="K28" s="144"/>
      <c r="L28" s="144"/>
      <c r="M28" s="144"/>
      <c r="N28" s="144"/>
      <c r="O28" s="144"/>
      <c r="P28" s="144"/>
      <c r="W28" s="322"/>
      <c r="X28" s="322"/>
      <c r="Y28" s="322"/>
      <c r="Z28" s="322"/>
      <c r="AA28" s="322"/>
    </row>
    <row r="29" spans="2:27" s="9" customFormat="1">
      <c r="B29" s="142">
        <v>2</v>
      </c>
      <c r="C29" s="143" t="s">
        <v>623</v>
      </c>
      <c r="D29" s="144"/>
      <c r="E29" s="144"/>
      <c r="F29" s="144"/>
      <c r="G29" s="144"/>
      <c r="H29" s="144"/>
      <c r="I29" s="144"/>
      <c r="J29" s="144"/>
      <c r="K29" s="144"/>
      <c r="L29" s="144"/>
      <c r="M29" s="144"/>
      <c r="N29" s="144"/>
      <c r="O29" s="144"/>
      <c r="P29" s="144"/>
      <c r="W29" s="322">
        <f ca="1">'F12_Excluding POA'!D60</f>
        <v>874.00730207641664</v>
      </c>
      <c r="X29" s="322">
        <f ca="1">'F12_Excluding POA'!E60</f>
        <v>918.78278527886016</v>
      </c>
      <c r="Y29" s="322">
        <f ca="1">'F12_Excluding POA'!F60</f>
        <v>929.52225398217411</v>
      </c>
      <c r="Z29" s="322">
        <f ca="1">'F12_Excluding POA'!G60</f>
        <v>948.10402236097286</v>
      </c>
      <c r="AA29" s="322">
        <f ca="1">'F12_Excluding POA'!H60</f>
        <v>947.66012896635698</v>
      </c>
    </row>
    <row r="30" spans="2:27" s="9" customFormat="1">
      <c r="B30" s="145" t="s">
        <v>590</v>
      </c>
      <c r="C30" s="146"/>
      <c r="D30" s="395">
        <v>0</v>
      </c>
      <c r="E30" s="144"/>
      <c r="F30" s="144"/>
      <c r="G30" s="144"/>
      <c r="H30" s="144"/>
      <c r="I30" s="144"/>
      <c r="J30" s="144"/>
      <c r="K30" s="144"/>
      <c r="L30" s="144"/>
      <c r="M30" s="144"/>
      <c r="N30" s="144"/>
      <c r="O30" s="144"/>
      <c r="P30" s="144"/>
      <c r="W30" s="322"/>
    </row>
    <row r="31" spans="2:27" s="9" customFormat="1">
      <c r="B31" s="145"/>
      <c r="C31" s="146"/>
      <c r="D31" s="144"/>
      <c r="E31" s="144"/>
      <c r="F31" s="144"/>
      <c r="G31" s="144"/>
      <c r="H31" s="144"/>
      <c r="I31" s="144"/>
      <c r="J31" s="144"/>
      <c r="K31" s="144"/>
      <c r="L31" s="144"/>
      <c r="M31" s="144"/>
      <c r="N31" s="144"/>
      <c r="O31" s="144"/>
      <c r="P31" s="144"/>
    </row>
    <row r="32" spans="2:27" s="9" customFormat="1">
      <c r="B32" s="142"/>
      <c r="C32" s="146"/>
      <c r="D32" s="144"/>
      <c r="E32" s="144"/>
      <c r="F32" s="144"/>
      <c r="G32" s="144"/>
      <c r="H32" s="144"/>
      <c r="I32" s="144"/>
      <c r="J32" s="144"/>
      <c r="K32" s="144"/>
      <c r="L32" s="144"/>
      <c r="M32" s="144"/>
      <c r="N32" s="144"/>
      <c r="O32" s="144"/>
      <c r="P32" s="144"/>
    </row>
    <row r="33" spans="2:27" s="9" customFormat="1">
      <c r="B33" s="142">
        <v>3</v>
      </c>
      <c r="C33" s="143" t="s">
        <v>624</v>
      </c>
      <c r="D33" s="144">
        <v>0</v>
      </c>
      <c r="E33" s="144">
        <v>0</v>
      </c>
      <c r="F33" s="144">
        <v>0</v>
      </c>
      <c r="G33" s="144">
        <v>0</v>
      </c>
      <c r="H33" s="144">
        <v>0</v>
      </c>
      <c r="I33" s="144">
        <v>0</v>
      </c>
      <c r="J33" s="144">
        <v>0</v>
      </c>
      <c r="K33" s="144">
        <v>0</v>
      </c>
      <c r="L33" s="144">
        <v>0</v>
      </c>
      <c r="M33" s="144">
        <v>0</v>
      </c>
      <c r="N33" s="144">
        <v>0</v>
      </c>
      <c r="O33" s="144">
        <v>0</v>
      </c>
      <c r="P33" s="144">
        <f t="shared" ref="P33:P35" si="19">SUM(D33:O33)</f>
        <v>0</v>
      </c>
      <c r="W33" s="322">
        <f t="shared" ref="W33:AA42" ca="1" si="20">W10/12</f>
        <v>61.400069964878725</v>
      </c>
      <c r="X33" s="322">
        <f t="shared" ca="1" si="20"/>
        <v>64.646677620426047</v>
      </c>
      <c r="Y33" s="322">
        <f t="shared" ca="1" si="20"/>
        <v>65.489485553772226</v>
      </c>
      <c r="Z33" s="322">
        <f t="shared" ca="1" si="20"/>
        <v>66.870915995858823</v>
      </c>
      <c r="AA33" s="322">
        <f t="shared" ca="1" si="20"/>
        <v>66.893614169518301</v>
      </c>
    </row>
    <row r="34" spans="2:27" s="9" customFormat="1">
      <c r="B34" s="142"/>
      <c r="C34" s="143"/>
      <c r="D34" s="144"/>
      <c r="E34" s="144"/>
      <c r="F34" s="144"/>
      <c r="G34" s="144"/>
      <c r="H34" s="144"/>
      <c r="I34" s="144"/>
      <c r="J34" s="144"/>
      <c r="K34" s="144"/>
      <c r="L34" s="144"/>
      <c r="M34" s="144"/>
      <c r="N34" s="144"/>
      <c r="O34" s="144"/>
      <c r="P34" s="144">
        <f t="shared" si="19"/>
        <v>0</v>
      </c>
      <c r="W34" s="322">
        <f t="shared" ca="1" si="20"/>
        <v>2.5799419953516183</v>
      </c>
      <c r="X34" s="322">
        <f t="shared" ca="1" si="20"/>
        <v>2.7501014258739467</v>
      </c>
      <c r="Y34" s="322">
        <f t="shared" ca="1" si="20"/>
        <v>2.8232728246810264</v>
      </c>
      <c r="Z34" s="322">
        <f t="shared" ca="1" si="20"/>
        <v>2.9246944078046049</v>
      </c>
      <c r="AA34" s="322">
        <f t="shared" ca="1" si="20"/>
        <v>2.972011648071105</v>
      </c>
    </row>
    <row r="35" spans="2:27" s="9" customFormat="1">
      <c r="B35" s="142"/>
      <c r="C35" s="143"/>
      <c r="D35" s="144"/>
      <c r="E35" s="144"/>
      <c r="F35" s="144"/>
      <c r="G35" s="144"/>
      <c r="H35" s="144"/>
      <c r="I35" s="144"/>
      <c r="J35" s="144"/>
      <c r="K35" s="144"/>
      <c r="L35" s="144"/>
      <c r="M35" s="144"/>
      <c r="N35" s="144"/>
      <c r="O35" s="144"/>
      <c r="P35" s="144">
        <f t="shared" si="19"/>
        <v>0</v>
      </c>
      <c r="W35" s="322">
        <f t="shared" ca="1" si="20"/>
        <v>4.6914163488064231</v>
      </c>
      <c r="X35" s="322">
        <f t="shared" ca="1" si="20"/>
        <v>4.9063806227398006</v>
      </c>
      <c r="Y35" s="322">
        <f t="shared" ca="1" si="20"/>
        <v>4.9417851868624334</v>
      </c>
      <c r="Z35" s="322">
        <f t="shared" ca="1" si="20"/>
        <v>5.0226162825116658</v>
      </c>
      <c r="AA35" s="322">
        <f t="shared" ca="1" si="20"/>
        <v>5.0074716921823441</v>
      </c>
    </row>
    <row r="36" spans="2:27" s="8" customFormat="1">
      <c r="B36" s="147">
        <v>4</v>
      </c>
      <c r="C36" s="148" t="s">
        <v>625</v>
      </c>
      <c r="D36" s="324">
        <f ca="1">SUM(D10:D35)</f>
        <v>72.833941839701353</v>
      </c>
      <c r="E36" s="324">
        <f t="shared" ref="E36:P36" ca="1" si="21">SUM(E9:E35)</f>
        <v>72.777248928399288</v>
      </c>
      <c r="F36" s="324">
        <f t="shared" ca="1" si="21"/>
        <v>72.777248928399288</v>
      </c>
      <c r="G36" s="324">
        <f t="shared" ca="1" si="21"/>
        <v>72.777248928399288</v>
      </c>
      <c r="H36" s="324">
        <f t="shared" ca="1" si="21"/>
        <v>72.777248928399288</v>
      </c>
      <c r="I36" s="324">
        <f t="shared" ca="1" si="21"/>
        <v>72.777248928399288</v>
      </c>
      <c r="J36" s="324">
        <f t="shared" ca="1" si="21"/>
        <v>72.777248928399288</v>
      </c>
      <c r="K36" s="324">
        <f t="shared" ca="1" si="21"/>
        <v>72.777248928399288</v>
      </c>
      <c r="L36" s="324">
        <f t="shared" ca="1" si="21"/>
        <v>72.777248928399288</v>
      </c>
      <c r="M36" s="324">
        <f t="shared" ca="1" si="21"/>
        <v>72.777248928399288</v>
      </c>
      <c r="N36" s="324">
        <f t="shared" ca="1" si="21"/>
        <v>72.777248928399288</v>
      </c>
      <c r="O36" s="324">
        <f t="shared" ca="1" si="21"/>
        <v>72.777248928399288</v>
      </c>
      <c r="P36" s="324">
        <f t="shared" ca="1" si="21"/>
        <v>873.32698714079197</v>
      </c>
      <c r="W36" s="322">
        <f t="shared" ca="1" si="20"/>
        <v>2.3012987712140829</v>
      </c>
      <c r="X36" s="322">
        <f t="shared" ca="1" si="20"/>
        <v>2.3144024383792785</v>
      </c>
      <c r="Y36" s="322">
        <f t="shared" ca="1" si="20"/>
        <v>2.2416619392170181</v>
      </c>
      <c r="Z36" s="322">
        <f t="shared" ca="1" si="20"/>
        <v>2.1909116674758073</v>
      </c>
      <c r="AA36" s="322">
        <f t="shared" ca="1" si="20"/>
        <v>2.1004966048120415</v>
      </c>
    </row>
    <row r="37" spans="2:27">
      <c r="W37" s="322">
        <f t="shared" ca="1" si="20"/>
        <v>1.4358713336054543</v>
      </c>
      <c r="X37" s="322">
        <f t="shared" ca="1" si="20"/>
        <v>1.5109838728140552</v>
      </c>
      <c r="Y37" s="322">
        <f t="shared" ca="1" si="20"/>
        <v>1.5313325011397823</v>
      </c>
      <c r="Z37" s="322">
        <f t="shared" ca="1" si="20"/>
        <v>1.5660393898276403</v>
      </c>
      <c r="AA37" s="322">
        <f t="shared" ca="1" si="20"/>
        <v>1.5710073917209089</v>
      </c>
    </row>
    <row r="38" spans="2:27">
      <c r="W38" s="322">
        <f t="shared" ca="1" si="20"/>
        <v>2.6789537728108676E-2</v>
      </c>
      <c r="X38" s="322">
        <f t="shared" ca="1" si="20"/>
        <v>2.727582185229448E-2</v>
      </c>
      <c r="Y38" s="322">
        <f t="shared" ca="1" si="20"/>
        <v>2.6745815114328844E-2</v>
      </c>
      <c r="Z38" s="322">
        <f t="shared" ca="1" si="20"/>
        <v>2.6464112935739335E-2</v>
      </c>
      <c r="AA38" s="322">
        <f t="shared" ca="1" si="20"/>
        <v>2.5686279857332E-2</v>
      </c>
    </row>
    <row r="39" spans="2:27">
      <c r="C39" s="7"/>
      <c r="G39" s="7"/>
      <c r="I39" s="8"/>
      <c r="W39" s="322">
        <f t="shared" ca="1" si="20"/>
        <v>1.3496794295169721E-2</v>
      </c>
      <c r="X39" s="322">
        <f t="shared" ca="1" si="20"/>
        <v>1.3882081514763507E-2</v>
      </c>
      <c r="Y39" s="322">
        <f t="shared" ca="1" si="20"/>
        <v>1.3751305131221608E-2</v>
      </c>
      <c r="Z39" s="322">
        <f t="shared" ca="1" si="20"/>
        <v>1.3745380221201087E-2</v>
      </c>
      <c r="AA39" s="322">
        <f t="shared" ca="1" si="20"/>
        <v>1.3477581358904527E-2</v>
      </c>
    </row>
    <row r="40" spans="2:27">
      <c r="B40" s="8" t="s">
        <v>626</v>
      </c>
      <c r="C40" s="7"/>
      <c r="G40" s="7"/>
      <c r="I40" s="8"/>
      <c r="L40" s="8"/>
      <c r="W40" s="322">
        <f t="shared" ca="1" si="20"/>
        <v>1.4895198758581288E-2</v>
      </c>
      <c r="X40" s="322">
        <f t="shared" ca="1" si="20"/>
        <v>1.5154007368381983E-2</v>
      </c>
      <c r="Y40" s="322">
        <f t="shared" ca="1" si="20"/>
        <v>1.4848208341255742E-2</v>
      </c>
      <c r="Z40" s="322">
        <f t="shared" ca="1" si="20"/>
        <v>1.46806106758244E-2</v>
      </c>
      <c r="AA40" s="322">
        <f t="shared" ca="1" si="20"/>
        <v>1.423824809187226E-2</v>
      </c>
    </row>
    <row r="41" spans="2:27">
      <c r="C41" s="7"/>
      <c r="G41" s="7"/>
      <c r="I41" s="8"/>
      <c r="L41" s="8"/>
      <c r="P41" s="8" t="s">
        <v>52</v>
      </c>
      <c r="W41" s="322">
        <f t="shared" ca="1" si="20"/>
        <v>2.1876186891489336E-2</v>
      </c>
      <c r="X41" s="322">
        <f t="shared" ca="1" si="20"/>
        <v>2.5950481603186068E-2</v>
      </c>
      <c r="Y41" s="322">
        <f t="shared" ca="1" si="20"/>
        <v>2.9647261672232011E-2</v>
      </c>
      <c r="Z41" s="322">
        <f t="shared" ca="1" si="20"/>
        <v>3.4178048457700581E-2</v>
      </c>
      <c r="AA41" s="322">
        <f t="shared" ca="1" si="20"/>
        <v>3.8650249472491065E-2</v>
      </c>
    </row>
    <row r="42" spans="2:27">
      <c r="B42" s="140" t="s">
        <v>576</v>
      </c>
      <c r="C42" s="140" t="s">
        <v>53</v>
      </c>
      <c r="D42" s="141" t="s">
        <v>577</v>
      </c>
      <c r="E42" s="141" t="s">
        <v>578</v>
      </c>
      <c r="F42" s="141" t="s">
        <v>579</v>
      </c>
      <c r="G42" s="141" t="s">
        <v>580</v>
      </c>
      <c r="H42" s="141" t="s">
        <v>581</v>
      </c>
      <c r="I42" s="141" t="s">
        <v>582</v>
      </c>
      <c r="J42" s="141" t="s">
        <v>583</v>
      </c>
      <c r="K42" s="141" t="s">
        <v>584</v>
      </c>
      <c r="L42" s="141" t="s">
        <v>585</v>
      </c>
      <c r="M42" s="141" t="s">
        <v>586</v>
      </c>
      <c r="N42" s="141" t="s">
        <v>587</v>
      </c>
      <c r="O42" s="141" t="s">
        <v>588</v>
      </c>
      <c r="P42" s="141" t="s">
        <v>219</v>
      </c>
      <c r="W42" s="322">
        <f t="shared" ca="1" si="20"/>
        <v>3.8539087532049369E-2</v>
      </c>
      <c r="X42" s="322">
        <f t="shared" ca="1" si="20"/>
        <v>4.1515370773004608E-2</v>
      </c>
      <c r="Y42" s="322">
        <f t="shared" ca="1" si="20"/>
        <v>4.307068523567107E-2</v>
      </c>
      <c r="Z42" s="322">
        <f t="shared" ca="1" si="20"/>
        <v>4.5089783680041962E-2</v>
      </c>
      <c r="AA42" s="322">
        <f t="shared" ca="1" si="20"/>
        <v>4.6303827116727647E-2</v>
      </c>
    </row>
    <row r="43" spans="2:27" s="9" customFormat="1">
      <c r="B43" s="142">
        <v>1</v>
      </c>
      <c r="C43" s="143" t="s">
        <v>589</v>
      </c>
      <c r="E43" s="144"/>
      <c r="F43" s="144"/>
      <c r="G43" s="144"/>
      <c r="H43" s="144"/>
      <c r="I43" s="144"/>
      <c r="J43" s="144"/>
      <c r="K43" s="144"/>
      <c r="L43" s="144"/>
      <c r="M43" s="144"/>
      <c r="N43" s="144"/>
      <c r="O43" s="144"/>
      <c r="P43" s="144"/>
      <c r="W43" s="322">
        <f t="shared" ref="W43:AA52" ca="1" si="22">W20/12</f>
        <v>2.2973975722730976E-2</v>
      </c>
      <c r="X43" s="322">
        <f t="shared" ca="1" si="22"/>
        <v>2.2915001782666283E-2</v>
      </c>
      <c r="Y43" s="322">
        <f t="shared" ca="1" si="22"/>
        <v>2.2012481307325801E-2</v>
      </c>
      <c r="Z43" s="322">
        <f t="shared" ca="1" si="22"/>
        <v>2.1337405721191107E-2</v>
      </c>
      <c r="AA43" s="322">
        <f t="shared" ca="1" si="22"/>
        <v>2.0288810971025546E-2</v>
      </c>
    </row>
    <row r="44" spans="2:27" s="9" customFormat="1">
      <c r="B44" s="145" t="s">
        <v>590</v>
      </c>
      <c r="C44" s="151" t="s">
        <v>591</v>
      </c>
      <c r="D44" s="144">
        <f ca="1">'F12_Excluding POA'!$E$41/12</f>
        <v>64.646677620426047</v>
      </c>
      <c r="E44" s="144">
        <f ca="1">'F12_Excluding POA'!$E$41/12</f>
        <v>64.646677620426047</v>
      </c>
      <c r="F44" s="144">
        <f ca="1">'F12_Excluding POA'!$E$41/12</f>
        <v>64.646677620426047</v>
      </c>
      <c r="G44" s="144">
        <f ca="1">'F12_Excluding POA'!$E$41/12</f>
        <v>64.646677620426047</v>
      </c>
      <c r="H44" s="144">
        <f ca="1">'F12_Excluding POA'!$E$41/12</f>
        <v>64.646677620426047</v>
      </c>
      <c r="I44" s="144">
        <f ca="1">'F12_Excluding POA'!$E$41/12</f>
        <v>64.646677620426047</v>
      </c>
      <c r="J44" s="144">
        <f ca="1">'F12_Excluding POA'!$E$41/12</f>
        <v>64.646677620426047</v>
      </c>
      <c r="K44" s="144">
        <f ca="1">'F12_Excluding POA'!$E$41/12</f>
        <v>64.646677620426047</v>
      </c>
      <c r="L44" s="144">
        <f ca="1">'F12_Excluding POA'!$E$41/12</f>
        <v>64.646677620426047</v>
      </c>
      <c r="M44" s="144">
        <f ca="1">'F12_Excluding POA'!$E$41/12</f>
        <v>64.646677620426047</v>
      </c>
      <c r="N44" s="144">
        <f ca="1">'F12_Excluding POA'!$E$41/12</f>
        <v>64.646677620426047</v>
      </c>
      <c r="O44" s="144">
        <f ca="1">'F12_Excluding POA'!$E$41/12</f>
        <v>64.646677620426047</v>
      </c>
      <c r="P44" s="144">
        <f t="shared" ref="P44:P62" ca="1" si="23">SUM(D44:O44)</f>
        <v>775.76013144511273</v>
      </c>
      <c r="W44" s="322">
        <f t="shared" ca="1" si="22"/>
        <v>1.5409956493794617E-2</v>
      </c>
      <c r="X44" s="322">
        <f t="shared" ca="1" si="22"/>
        <v>1.5370399306930993E-2</v>
      </c>
      <c r="Y44" s="322">
        <f t="shared" ca="1" si="22"/>
        <v>1.4765027323099957E-2</v>
      </c>
      <c r="Z44" s="322">
        <f t="shared" ca="1" si="22"/>
        <v>1.4312215605271524E-2</v>
      </c>
      <c r="AA44" s="322">
        <f t="shared" ca="1" si="22"/>
        <v>1.3608863269798965E-2</v>
      </c>
    </row>
    <row r="45" spans="2:27" s="9" customFormat="1">
      <c r="B45" s="145" t="s">
        <v>592</v>
      </c>
      <c r="C45" s="151" t="s">
        <v>593</v>
      </c>
      <c r="D45" s="144">
        <f ca="1">'F12_Excluding POA'!$E$42/12</f>
        <v>2.7501014258739467</v>
      </c>
      <c r="E45" s="144">
        <f ca="1">'F12_Excluding POA'!$E$42/12</f>
        <v>2.7501014258739467</v>
      </c>
      <c r="F45" s="144">
        <f ca="1">'F12_Excluding POA'!$E$42/12</f>
        <v>2.7501014258739467</v>
      </c>
      <c r="G45" s="144">
        <f ca="1">'F12_Excluding POA'!$E$42/12</f>
        <v>2.7501014258739467</v>
      </c>
      <c r="H45" s="144">
        <f ca="1">'F12_Excluding POA'!$E$42/12</f>
        <v>2.7501014258739467</v>
      </c>
      <c r="I45" s="144">
        <f ca="1">'F12_Excluding POA'!$E$42/12</f>
        <v>2.7501014258739467</v>
      </c>
      <c r="J45" s="144">
        <f ca="1">'F12_Excluding POA'!$E$42/12</f>
        <v>2.7501014258739467</v>
      </c>
      <c r="K45" s="144">
        <f ca="1">'F12_Excluding POA'!$E$42/12</f>
        <v>2.7501014258739467</v>
      </c>
      <c r="L45" s="144">
        <f ca="1">'F12_Excluding POA'!$E$42/12</f>
        <v>2.7501014258739467</v>
      </c>
      <c r="M45" s="144">
        <f ca="1">'F12_Excluding POA'!$E$42/12</f>
        <v>2.7501014258739467</v>
      </c>
      <c r="N45" s="144">
        <f ca="1">'F12_Excluding POA'!$E$42/12</f>
        <v>2.7501014258739467</v>
      </c>
      <c r="O45" s="144">
        <f ca="1">'F12_Excluding POA'!$E$42/12</f>
        <v>2.7501014258739467</v>
      </c>
      <c r="P45" s="144">
        <f t="shared" ca="1" si="23"/>
        <v>33.00121711048736</v>
      </c>
      <c r="W45" s="322">
        <f t="shared" ca="1" si="22"/>
        <v>4.3220655347543458E-3</v>
      </c>
      <c r="X45" s="322">
        <f t="shared" ca="1" si="22"/>
        <v>4.8229923819475959E-3</v>
      </c>
      <c r="Y45" s="322">
        <f t="shared" ca="1" si="22"/>
        <v>5.1833098541891106E-3</v>
      </c>
      <c r="Z45" s="322">
        <f t="shared" ca="1" si="22"/>
        <v>5.6210995542584586E-3</v>
      </c>
      <c r="AA45" s="322">
        <f t="shared" ca="1" si="22"/>
        <v>5.9796773131905257E-3</v>
      </c>
    </row>
    <row r="46" spans="2:27" s="9" customFormat="1">
      <c r="B46" s="145" t="s">
        <v>594</v>
      </c>
      <c r="C46" s="151" t="s">
        <v>595</v>
      </c>
      <c r="D46" s="144">
        <f ca="1">'F12_Excluding POA'!$E$43/12</f>
        <v>4.9063806227398006</v>
      </c>
      <c r="E46" s="144">
        <f ca="1">'F12_Excluding POA'!$E$43/12</f>
        <v>4.9063806227398006</v>
      </c>
      <c r="F46" s="144">
        <f ca="1">'F12_Excluding POA'!$E$43/12</f>
        <v>4.9063806227398006</v>
      </c>
      <c r="G46" s="144">
        <f ca="1">'F12_Excluding POA'!$E$43/12</f>
        <v>4.9063806227398006</v>
      </c>
      <c r="H46" s="144">
        <f ca="1">'F12_Excluding POA'!$E$43/12</f>
        <v>4.9063806227398006</v>
      </c>
      <c r="I46" s="144">
        <f ca="1">'F12_Excluding POA'!$E$43/12</f>
        <v>4.9063806227398006</v>
      </c>
      <c r="J46" s="144">
        <f ca="1">'F12_Excluding POA'!$E$43/12</f>
        <v>4.9063806227398006</v>
      </c>
      <c r="K46" s="144">
        <f ca="1">'F12_Excluding POA'!$E$43/12</f>
        <v>4.9063806227398006</v>
      </c>
      <c r="L46" s="144">
        <f ca="1">'F12_Excluding POA'!$E$43/12</f>
        <v>4.9063806227398006</v>
      </c>
      <c r="M46" s="144">
        <f ca="1">'F12_Excluding POA'!$E$43/12</f>
        <v>4.9063806227398006</v>
      </c>
      <c r="N46" s="144">
        <f ca="1">'F12_Excluding POA'!$E$43/12</f>
        <v>4.9063806227398006</v>
      </c>
      <c r="O46" s="144">
        <f ca="1">'F12_Excluding POA'!$E$43/12</f>
        <v>4.9063806227398006</v>
      </c>
      <c r="P46" s="144">
        <f t="shared" ca="1" si="23"/>
        <v>58.876567472877618</v>
      </c>
      <c r="W46" s="322">
        <f t="shared" ca="1" si="22"/>
        <v>1.7149318121744287E-3</v>
      </c>
      <c r="X46" s="322">
        <f t="shared" ca="1" si="22"/>
        <v>1.7433342368323322E-3</v>
      </c>
      <c r="Y46" s="322">
        <f t="shared" ca="1" si="22"/>
        <v>1.7067889757503196E-3</v>
      </c>
      <c r="Z46" s="322">
        <f t="shared" ca="1" si="22"/>
        <v>1.6861744686792364E-3</v>
      </c>
      <c r="AA46" s="322">
        <f t="shared" ca="1" si="22"/>
        <v>1.6340583284761437E-3</v>
      </c>
    </row>
    <row r="47" spans="2:27" s="9" customFormat="1">
      <c r="B47" s="145" t="s">
        <v>596</v>
      </c>
      <c r="C47" s="151" t="s">
        <v>597</v>
      </c>
      <c r="D47" s="144">
        <f ca="1">'F12_Excluding POA'!$E$44/12</f>
        <v>2.3144024383792785</v>
      </c>
      <c r="E47" s="144">
        <f ca="1">'F12_Excluding POA'!$E$44/12</f>
        <v>2.3144024383792785</v>
      </c>
      <c r="F47" s="144">
        <f ca="1">'F12_Excluding POA'!$E$44/12</f>
        <v>2.3144024383792785</v>
      </c>
      <c r="G47" s="144">
        <f ca="1">'F12_Excluding POA'!$E$44/12</f>
        <v>2.3144024383792785</v>
      </c>
      <c r="H47" s="144">
        <f ca="1">'F12_Excluding POA'!$E$44/12</f>
        <v>2.3144024383792785</v>
      </c>
      <c r="I47" s="144">
        <f ca="1">'F12_Excluding POA'!$E$44/12</f>
        <v>2.3144024383792785</v>
      </c>
      <c r="J47" s="144">
        <f ca="1">'F12_Excluding POA'!$E$44/12</f>
        <v>2.3144024383792785</v>
      </c>
      <c r="K47" s="144">
        <f ca="1">'F12_Excluding POA'!$E$44/12</f>
        <v>2.3144024383792785</v>
      </c>
      <c r="L47" s="144">
        <f ca="1">'F12_Excluding POA'!$E$44/12</f>
        <v>2.3144024383792785</v>
      </c>
      <c r="M47" s="144">
        <f ca="1">'F12_Excluding POA'!$E$44/12</f>
        <v>2.3144024383792785</v>
      </c>
      <c r="N47" s="144">
        <f ca="1">'F12_Excluding POA'!$E$44/12</f>
        <v>2.3144024383792785</v>
      </c>
      <c r="O47" s="144">
        <f ca="1">'F12_Excluding POA'!$E$44/12</f>
        <v>2.3144024383792785</v>
      </c>
      <c r="P47" s="144">
        <f t="shared" ca="1" si="23"/>
        <v>27.772829260551344</v>
      </c>
      <c r="W47" s="322">
        <f t="shared" ca="1" si="22"/>
        <v>7.8834839014837579E-2</v>
      </c>
      <c r="X47" s="322">
        <f t="shared" ca="1" si="22"/>
        <v>8.2044503399420723E-2</v>
      </c>
      <c r="Y47" s="322">
        <f t="shared" ca="1" si="22"/>
        <v>8.2233005508291865E-2</v>
      </c>
      <c r="Z47" s="322">
        <f t="shared" ca="1" si="22"/>
        <v>8.3169932008755526E-2</v>
      </c>
      <c r="AA47" s="322">
        <f t="shared" ca="1" si="22"/>
        <v>8.2514238320666178E-2</v>
      </c>
    </row>
    <row r="48" spans="2:27" s="9" customFormat="1">
      <c r="B48" s="145" t="s">
        <v>598</v>
      </c>
      <c r="C48" s="151" t="s">
        <v>599</v>
      </c>
      <c r="D48" s="144">
        <f ca="1">'F12_Excluding POA'!$E$45/12</f>
        <v>1.5109838728140552</v>
      </c>
      <c r="E48" s="144">
        <f ca="1">'F12_Excluding POA'!$E$45/12</f>
        <v>1.5109838728140552</v>
      </c>
      <c r="F48" s="144">
        <f ca="1">'F12_Excluding POA'!$E$45/12</f>
        <v>1.5109838728140552</v>
      </c>
      <c r="G48" s="144">
        <f ca="1">'F12_Excluding POA'!$E$45/12</f>
        <v>1.5109838728140552</v>
      </c>
      <c r="H48" s="144">
        <f ca="1">'F12_Excluding POA'!$E$45/12</f>
        <v>1.5109838728140552</v>
      </c>
      <c r="I48" s="144">
        <f ca="1">'F12_Excluding POA'!$E$45/12</f>
        <v>1.5109838728140552</v>
      </c>
      <c r="J48" s="144">
        <f ca="1">'F12_Excluding POA'!$E$45/12</f>
        <v>1.5109838728140552</v>
      </c>
      <c r="K48" s="144">
        <f ca="1">'F12_Excluding POA'!$E$45/12</f>
        <v>1.5109838728140552</v>
      </c>
      <c r="L48" s="144">
        <f ca="1">'F12_Excluding POA'!$E$45/12</f>
        <v>1.5109838728140552</v>
      </c>
      <c r="M48" s="144">
        <f ca="1">'F12_Excluding POA'!$E$45/12</f>
        <v>1.5109838728140552</v>
      </c>
      <c r="N48" s="144">
        <f ca="1">'F12_Excluding POA'!$E$45/12</f>
        <v>1.5109838728140552</v>
      </c>
      <c r="O48" s="144">
        <f ca="1">'F12_Excluding POA'!$E$45/12</f>
        <v>1.5109838728140552</v>
      </c>
      <c r="P48" s="144">
        <f t="shared" ca="1" si="23"/>
        <v>18.131806473768663</v>
      </c>
      <c r="W48" s="322">
        <f t="shared" ca="1" si="22"/>
        <v>4.2996506786021495E-2</v>
      </c>
      <c r="X48" s="322">
        <f t="shared" ca="1" si="22"/>
        <v>4.2886135231494225E-2</v>
      </c>
      <c r="Y48" s="322">
        <f t="shared" ca="1" si="22"/>
        <v>4.1197040221956728E-2</v>
      </c>
      <c r="Z48" s="322">
        <f t="shared" ca="1" si="22"/>
        <v>3.9933615363733389E-2</v>
      </c>
      <c r="AA48" s="322">
        <f t="shared" ca="1" si="22"/>
        <v>3.7971137826740484E-2</v>
      </c>
    </row>
    <row r="49" spans="2:27" s="9" customFormat="1">
      <c r="B49" s="145" t="s">
        <v>600</v>
      </c>
      <c r="C49" s="151" t="s">
        <v>601</v>
      </c>
      <c r="D49" s="144">
        <f ca="1">'F12_Excluding POA'!$E$46/12</f>
        <v>2.727582185229448E-2</v>
      </c>
      <c r="E49" s="144">
        <f ca="1">'F12_Excluding POA'!$E$46/12</f>
        <v>2.727582185229448E-2</v>
      </c>
      <c r="F49" s="144">
        <f ca="1">'F12_Excluding POA'!$E$46/12</f>
        <v>2.727582185229448E-2</v>
      </c>
      <c r="G49" s="144">
        <f ca="1">'F12_Excluding POA'!$E$46/12</f>
        <v>2.727582185229448E-2</v>
      </c>
      <c r="H49" s="144">
        <f ca="1">'F12_Excluding POA'!$E$46/12</f>
        <v>2.727582185229448E-2</v>
      </c>
      <c r="I49" s="144">
        <f ca="1">'F12_Excluding POA'!$E$46/12</f>
        <v>2.727582185229448E-2</v>
      </c>
      <c r="J49" s="144">
        <f ca="1">'F12_Excluding POA'!$E$46/12</f>
        <v>2.727582185229448E-2</v>
      </c>
      <c r="K49" s="144">
        <f ca="1">'F12_Excluding POA'!$E$46/12</f>
        <v>2.727582185229448E-2</v>
      </c>
      <c r="L49" s="144">
        <f ca="1">'F12_Excluding POA'!$E$46/12</f>
        <v>2.727582185229448E-2</v>
      </c>
      <c r="M49" s="144">
        <f ca="1">'F12_Excluding POA'!$E$46/12</f>
        <v>2.727582185229448E-2</v>
      </c>
      <c r="N49" s="144">
        <f ca="1">'F12_Excluding POA'!$E$46/12</f>
        <v>2.727582185229448E-2</v>
      </c>
      <c r="O49" s="144">
        <f ca="1">'F12_Excluding POA'!$E$46/12</f>
        <v>2.727582185229448E-2</v>
      </c>
      <c r="P49" s="144">
        <f t="shared" ca="1" si="23"/>
        <v>0.32730986222753383</v>
      </c>
      <c r="W49" s="322">
        <f t="shared" ca="1" si="22"/>
        <v>3.0108522671234431E-2</v>
      </c>
      <c r="X49" s="322">
        <f t="shared" ca="1" si="22"/>
        <v>3.0031234428534115E-2</v>
      </c>
      <c r="Y49" s="322">
        <f t="shared" ca="1" si="22"/>
        <v>2.8848437052886325E-2</v>
      </c>
      <c r="Z49" s="322">
        <f t="shared" ca="1" si="22"/>
        <v>2.7963717366784158E-2</v>
      </c>
      <c r="AA49" s="322">
        <f t="shared" ca="1" si="22"/>
        <v>2.6589482485136776E-2</v>
      </c>
    </row>
    <row r="50" spans="2:27" s="9" customFormat="1">
      <c r="B50" s="145" t="s">
        <v>602</v>
      </c>
      <c r="C50" s="151" t="s">
        <v>603</v>
      </c>
      <c r="D50" s="144">
        <f ca="1">'F12_Excluding POA'!$E$47/12</f>
        <v>1.3882081514763507E-2</v>
      </c>
      <c r="E50" s="144">
        <f ca="1">'F12_Excluding POA'!$E$47/12</f>
        <v>1.3882081514763507E-2</v>
      </c>
      <c r="F50" s="144">
        <f ca="1">'F12_Excluding POA'!$E$47/12</f>
        <v>1.3882081514763507E-2</v>
      </c>
      <c r="G50" s="144">
        <f ca="1">'F12_Excluding POA'!$E$47/12</f>
        <v>1.3882081514763507E-2</v>
      </c>
      <c r="H50" s="144">
        <f ca="1">'F12_Excluding POA'!$E$47/12</f>
        <v>1.3882081514763507E-2</v>
      </c>
      <c r="I50" s="144">
        <f ca="1">'F12_Excluding POA'!$E$47/12</f>
        <v>1.3882081514763507E-2</v>
      </c>
      <c r="J50" s="144">
        <f ca="1">'F12_Excluding POA'!$E$47/12</f>
        <v>1.3882081514763507E-2</v>
      </c>
      <c r="K50" s="144">
        <f ca="1">'F12_Excluding POA'!$E$47/12</f>
        <v>1.3882081514763507E-2</v>
      </c>
      <c r="L50" s="144">
        <f ca="1">'F12_Excluding POA'!$E$47/12</f>
        <v>1.3882081514763507E-2</v>
      </c>
      <c r="M50" s="144">
        <f ca="1">'F12_Excluding POA'!$E$47/12</f>
        <v>1.3882081514763507E-2</v>
      </c>
      <c r="N50" s="144">
        <f ca="1">'F12_Excluding POA'!$E$47/12</f>
        <v>1.3882081514763507E-2</v>
      </c>
      <c r="O50" s="144">
        <f ca="1">'F12_Excluding POA'!$E$47/12</f>
        <v>1.3882081514763507E-2</v>
      </c>
      <c r="P50" s="144">
        <f t="shared" ca="1" si="23"/>
        <v>0.16658497817716203</v>
      </c>
      <c r="W50" s="322">
        <f t="shared" ca="1" si="22"/>
        <v>5.6692911302070791E-2</v>
      </c>
      <c r="X50" s="322">
        <f t="shared" ca="1" si="22"/>
        <v>5.6547381229541248E-2</v>
      </c>
      <c r="Y50" s="322">
        <f t="shared" ca="1" si="22"/>
        <v>5.4320230218575578E-2</v>
      </c>
      <c r="Z50" s="322">
        <f t="shared" ca="1" si="22"/>
        <v>5.2654345271676284E-2</v>
      </c>
      <c r="AA50" s="322">
        <f t="shared" ca="1" si="22"/>
        <v>5.0066726573005253E-2</v>
      </c>
    </row>
    <row r="51" spans="2:27" s="9" customFormat="1">
      <c r="B51" s="145" t="s">
        <v>604</v>
      </c>
      <c r="C51" s="151" t="s">
        <v>605</v>
      </c>
      <c r="D51" s="144">
        <f ca="1">'F12_Excluding POA'!$E$48/12</f>
        <v>1.5154007368381983E-2</v>
      </c>
      <c r="E51" s="144">
        <f ca="1">'F12_Excluding POA'!$E$48/12</f>
        <v>1.5154007368381983E-2</v>
      </c>
      <c r="F51" s="144">
        <f ca="1">'F12_Excluding POA'!$E$48/12</f>
        <v>1.5154007368381983E-2</v>
      </c>
      <c r="G51" s="144">
        <f ca="1">'F12_Excluding POA'!$E$48/12</f>
        <v>1.5154007368381983E-2</v>
      </c>
      <c r="H51" s="144">
        <f ca="1">'F12_Excluding POA'!$E$48/12</f>
        <v>1.5154007368381983E-2</v>
      </c>
      <c r="I51" s="144">
        <f ca="1">'F12_Excluding POA'!$E$48/12</f>
        <v>1.5154007368381983E-2</v>
      </c>
      <c r="J51" s="144">
        <f ca="1">'F12_Excluding POA'!$E$48/12</f>
        <v>1.5154007368381983E-2</v>
      </c>
      <c r="K51" s="144">
        <f ca="1">'F12_Excluding POA'!$E$48/12</f>
        <v>1.5154007368381983E-2</v>
      </c>
      <c r="L51" s="144">
        <f ca="1">'F12_Excluding POA'!$E$48/12</f>
        <v>1.5154007368381983E-2</v>
      </c>
      <c r="M51" s="144">
        <f ca="1">'F12_Excluding POA'!$E$48/12</f>
        <v>1.5154007368381983E-2</v>
      </c>
      <c r="N51" s="144">
        <f ca="1">'F12_Excluding POA'!$E$48/12</f>
        <v>1.5154007368381983E-2</v>
      </c>
      <c r="O51" s="144">
        <f ca="1">'F12_Excluding POA'!$E$48/12</f>
        <v>1.5154007368381983E-2</v>
      </c>
      <c r="P51" s="144">
        <f t="shared" ca="1" si="23"/>
        <v>0.18184808842058384</v>
      </c>
      <c r="W51" s="322">
        <f ca="1">W29/12</f>
        <v>72.833941839701382</v>
      </c>
      <c r="X51" s="322">
        <f ca="1">X29/12</f>
        <v>76.565232106571685</v>
      </c>
      <c r="Y51" s="322">
        <f ca="1">Y29/12</f>
        <v>77.460187831847847</v>
      </c>
      <c r="Z51" s="322">
        <f ca="1">Z29/12</f>
        <v>79.008668530081067</v>
      </c>
      <c r="AA51" s="322">
        <f ca="1">AA29/12</f>
        <v>78.971677413863077</v>
      </c>
    </row>
    <row r="52" spans="2:27" s="9" customFormat="1">
      <c r="B52" s="145" t="s">
        <v>606</v>
      </c>
      <c r="C52" s="151" t="s">
        <v>607</v>
      </c>
      <c r="D52" s="144">
        <f ca="1">'F12_Excluding POA'!$E$49/12</f>
        <v>2.5950481603186068E-2</v>
      </c>
      <c r="E52" s="144">
        <f ca="1">'F12_Excluding POA'!$E$49/12</f>
        <v>2.5950481603186068E-2</v>
      </c>
      <c r="F52" s="144">
        <f ca="1">'F12_Excluding POA'!$E$49/12</f>
        <v>2.5950481603186068E-2</v>
      </c>
      <c r="G52" s="144">
        <f ca="1">'F12_Excluding POA'!$E$49/12</f>
        <v>2.5950481603186068E-2</v>
      </c>
      <c r="H52" s="144">
        <f ca="1">'F12_Excluding POA'!$E$49/12</f>
        <v>2.5950481603186068E-2</v>
      </c>
      <c r="I52" s="144">
        <f ca="1">'F12_Excluding POA'!$E$49/12</f>
        <v>2.5950481603186068E-2</v>
      </c>
      <c r="J52" s="144">
        <f ca="1">'F12_Excluding POA'!$E$49/12</f>
        <v>2.5950481603186068E-2</v>
      </c>
      <c r="K52" s="144">
        <f ca="1">'F12_Excluding POA'!$E$49/12</f>
        <v>2.5950481603186068E-2</v>
      </c>
      <c r="L52" s="144">
        <f ca="1">'F12_Excluding POA'!$E$49/12</f>
        <v>2.5950481603186068E-2</v>
      </c>
      <c r="M52" s="144">
        <f ca="1">'F12_Excluding POA'!$E$49/12</f>
        <v>2.5950481603186068E-2</v>
      </c>
      <c r="N52" s="144">
        <f ca="1">'F12_Excluding POA'!$E$49/12</f>
        <v>2.5950481603186068E-2</v>
      </c>
      <c r="O52" s="144">
        <f ca="1">'F12_Excluding POA'!$E$49/12</f>
        <v>2.5950481603186068E-2</v>
      </c>
      <c r="P52" s="144">
        <f t="shared" ca="1" si="23"/>
        <v>0.31140577923823293</v>
      </c>
      <c r="W52" s="322"/>
    </row>
    <row r="53" spans="2:27">
      <c r="B53" s="145" t="s">
        <v>608</v>
      </c>
      <c r="C53" s="151" t="s">
        <v>609</v>
      </c>
      <c r="D53" s="144">
        <f ca="1">'F12_Excluding POA'!$E$50/12</f>
        <v>4.1515370773004608E-2</v>
      </c>
      <c r="E53" s="144">
        <f ca="1">'F12_Excluding POA'!$E$50/12</f>
        <v>4.1515370773004608E-2</v>
      </c>
      <c r="F53" s="144">
        <f ca="1">'F12_Excluding POA'!$E$50/12</f>
        <v>4.1515370773004608E-2</v>
      </c>
      <c r="G53" s="144">
        <f ca="1">'F12_Excluding POA'!$E$50/12</f>
        <v>4.1515370773004608E-2</v>
      </c>
      <c r="H53" s="144">
        <f ca="1">'F12_Excluding POA'!$E$50/12</f>
        <v>4.1515370773004608E-2</v>
      </c>
      <c r="I53" s="144">
        <f ca="1">'F12_Excluding POA'!$E$50/12</f>
        <v>4.1515370773004608E-2</v>
      </c>
      <c r="J53" s="144">
        <f ca="1">'F12_Excluding POA'!$E$50/12</f>
        <v>4.1515370773004608E-2</v>
      </c>
      <c r="K53" s="144">
        <f ca="1">'F12_Excluding POA'!$E$50/12</f>
        <v>4.1515370773004608E-2</v>
      </c>
      <c r="L53" s="144">
        <f ca="1">'F12_Excluding POA'!$E$50/12</f>
        <v>4.1515370773004608E-2</v>
      </c>
      <c r="M53" s="144">
        <f ca="1">'F12_Excluding POA'!$E$50/12</f>
        <v>4.1515370773004608E-2</v>
      </c>
      <c r="N53" s="144">
        <f ca="1">'F12_Excluding POA'!$E$50/12</f>
        <v>4.1515370773004608E-2</v>
      </c>
      <c r="O53" s="144">
        <f ca="1">'F12_Excluding POA'!$E$50/12</f>
        <v>4.1515370773004608E-2</v>
      </c>
      <c r="P53" s="144">
        <f t="shared" ca="1" si="23"/>
        <v>0.49818444927605526</v>
      </c>
    </row>
    <row r="54" spans="2:27">
      <c r="B54" s="145" t="s">
        <v>610</v>
      </c>
      <c r="C54" s="151" t="s">
        <v>611</v>
      </c>
      <c r="D54" s="144">
        <f ca="1">'F12_Excluding POA'!$E$51/12</f>
        <v>2.2915001782666283E-2</v>
      </c>
      <c r="E54" s="144">
        <f ca="1">'F12_Excluding POA'!$E$51/12</f>
        <v>2.2915001782666283E-2</v>
      </c>
      <c r="F54" s="144">
        <f ca="1">'F12_Excluding POA'!$E$51/12</f>
        <v>2.2915001782666283E-2</v>
      </c>
      <c r="G54" s="144">
        <f ca="1">'F12_Excluding POA'!$E$51/12</f>
        <v>2.2915001782666283E-2</v>
      </c>
      <c r="H54" s="144">
        <f ca="1">'F12_Excluding POA'!$E$51/12</f>
        <v>2.2915001782666283E-2</v>
      </c>
      <c r="I54" s="144">
        <f ca="1">'F12_Excluding POA'!$E$51/12</f>
        <v>2.2915001782666283E-2</v>
      </c>
      <c r="J54" s="144">
        <f ca="1">'F12_Excluding POA'!$E$51/12</f>
        <v>2.2915001782666283E-2</v>
      </c>
      <c r="K54" s="144">
        <f ca="1">'F12_Excluding POA'!$E$51/12</f>
        <v>2.2915001782666283E-2</v>
      </c>
      <c r="L54" s="144">
        <f ca="1">'F12_Excluding POA'!$E$51/12</f>
        <v>2.2915001782666283E-2</v>
      </c>
      <c r="M54" s="144">
        <f ca="1">'F12_Excluding POA'!$E$51/12</f>
        <v>2.2915001782666283E-2</v>
      </c>
      <c r="N54" s="144">
        <f ca="1">'F12_Excluding POA'!$E$51/12</f>
        <v>2.2915001782666283E-2</v>
      </c>
      <c r="O54" s="144">
        <f ca="1">'F12_Excluding POA'!$E$51/12</f>
        <v>2.2915001782666283E-2</v>
      </c>
      <c r="P54" s="144">
        <f t="shared" ca="1" si="23"/>
        <v>0.2749800213919954</v>
      </c>
    </row>
    <row r="55" spans="2:27">
      <c r="B55" s="145" t="s">
        <v>612</v>
      </c>
      <c r="C55" s="151" t="s">
        <v>613</v>
      </c>
      <c r="D55" s="144">
        <f ca="1">'F12_Excluding POA'!$E$52/12</f>
        <v>1.5370399306930993E-2</v>
      </c>
      <c r="E55" s="144">
        <f ca="1">'F12_Excluding POA'!$E$52/12</f>
        <v>1.5370399306930993E-2</v>
      </c>
      <c r="F55" s="144">
        <f ca="1">'F12_Excluding POA'!$E$52/12</f>
        <v>1.5370399306930993E-2</v>
      </c>
      <c r="G55" s="144">
        <f ca="1">'F12_Excluding POA'!$E$52/12</f>
        <v>1.5370399306930993E-2</v>
      </c>
      <c r="H55" s="144">
        <f ca="1">'F12_Excluding POA'!$E$52/12</f>
        <v>1.5370399306930993E-2</v>
      </c>
      <c r="I55" s="144">
        <f ca="1">'F12_Excluding POA'!$E$52/12</f>
        <v>1.5370399306930993E-2</v>
      </c>
      <c r="J55" s="144">
        <f ca="1">'F12_Excluding POA'!$E$52/12</f>
        <v>1.5370399306930993E-2</v>
      </c>
      <c r="K55" s="144">
        <f ca="1">'F12_Excluding POA'!$E$52/12</f>
        <v>1.5370399306930993E-2</v>
      </c>
      <c r="L55" s="144">
        <f ca="1">'F12_Excluding POA'!$E$52/12</f>
        <v>1.5370399306930993E-2</v>
      </c>
      <c r="M55" s="144">
        <f ca="1">'F12_Excluding POA'!$E$52/12</f>
        <v>1.5370399306930993E-2</v>
      </c>
      <c r="N55" s="144">
        <f ca="1">'F12_Excluding POA'!$E$52/12</f>
        <v>1.5370399306930993E-2</v>
      </c>
      <c r="O55" s="144">
        <f ca="1">'F12_Excluding POA'!$E$52/12</f>
        <v>1.5370399306930993E-2</v>
      </c>
      <c r="P55" s="144">
        <f t="shared" ca="1" si="23"/>
        <v>0.18444479168317188</v>
      </c>
    </row>
    <row r="56" spans="2:27">
      <c r="B56" s="145" t="s">
        <v>614</v>
      </c>
      <c r="C56" s="151" t="s">
        <v>615</v>
      </c>
      <c r="D56" s="144">
        <f ca="1">'F12_Excluding POA'!$E$53/12</f>
        <v>4.8229923819475959E-3</v>
      </c>
      <c r="E56" s="144">
        <f ca="1">'F12_Excluding POA'!$E$53/12</f>
        <v>4.8229923819475959E-3</v>
      </c>
      <c r="F56" s="144">
        <f ca="1">'F12_Excluding POA'!$E$53/12</f>
        <v>4.8229923819475959E-3</v>
      </c>
      <c r="G56" s="144">
        <f ca="1">'F12_Excluding POA'!$E$53/12</f>
        <v>4.8229923819475959E-3</v>
      </c>
      <c r="H56" s="144">
        <f ca="1">'F12_Excluding POA'!$E$53/12</f>
        <v>4.8229923819475959E-3</v>
      </c>
      <c r="I56" s="144">
        <f ca="1">'F12_Excluding POA'!$E$53/12</f>
        <v>4.8229923819475959E-3</v>
      </c>
      <c r="J56" s="144">
        <f ca="1">'F12_Excluding POA'!$E$53/12</f>
        <v>4.8229923819475959E-3</v>
      </c>
      <c r="K56" s="144">
        <f ca="1">'F12_Excluding POA'!$E$53/12</f>
        <v>4.8229923819475959E-3</v>
      </c>
      <c r="L56" s="144">
        <f ca="1">'F12_Excluding POA'!$E$53/12</f>
        <v>4.8229923819475959E-3</v>
      </c>
      <c r="M56" s="144">
        <f ca="1">'F12_Excluding POA'!$E$53/12</f>
        <v>4.8229923819475959E-3</v>
      </c>
      <c r="N56" s="144">
        <f ca="1">'F12_Excluding POA'!$E$53/12</f>
        <v>4.8229923819475959E-3</v>
      </c>
      <c r="O56" s="144">
        <f ca="1">'F12_Excluding POA'!$E$53/12</f>
        <v>4.8229923819475959E-3</v>
      </c>
      <c r="P56" s="144">
        <f t="shared" ca="1" si="23"/>
        <v>5.7875908583371154E-2</v>
      </c>
    </row>
    <row r="57" spans="2:27">
      <c r="B57" s="145" t="s">
        <v>616</v>
      </c>
      <c r="C57" s="151" t="s">
        <v>617</v>
      </c>
      <c r="D57" s="144">
        <f ca="1">'F12_Excluding POA'!$E$54/12</f>
        <v>1.7433342368323322E-3</v>
      </c>
      <c r="E57" s="144">
        <f ca="1">'F12_Excluding POA'!$E$54/12</f>
        <v>1.7433342368323322E-3</v>
      </c>
      <c r="F57" s="144">
        <f ca="1">'F12_Excluding POA'!$E$54/12</f>
        <v>1.7433342368323322E-3</v>
      </c>
      <c r="G57" s="144">
        <f ca="1">'F12_Excluding POA'!$E$54/12</f>
        <v>1.7433342368323322E-3</v>
      </c>
      <c r="H57" s="144">
        <f ca="1">'F12_Excluding POA'!$E$54/12</f>
        <v>1.7433342368323322E-3</v>
      </c>
      <c r="I57" s="144">
        <f ca="1">'F12_Excluding POA'!$E$54/12</f>
        <v>1.7433342368323322E-3</v>
      </c>
      <c r="J57" s="144">
        <f ca="1">'F12_Excluding POA'!$E$54/12</f>
        <v>1.7433342368323322E-3</v>
      </c>
      <c r="K57" s="144">
        <f ca="1">'F12_Excluding POA'!$E$54/12</f>
        <v>1.7433342368323322E-3</v>
      </c>
      <c r="L57" s="144">
        <f ca="1">'F12_Excluding POA'!$E$54/12</f>
        <v>1.7433342368323322E-3</v>
      </c>
      <c r="M57" s="144">
        <f ca="1">'F12_Excluding POA'!$E$54/12</f>
        <v>1.7433342368323322E-3</v>
      </c>
      <c r="N57" s="144">
        <f ca="1">'F12_Excluding POA'!$E$54/12</f>
        <v>1.7433342368323322E-3</v>
      </c>
      <c r="O57" s="144">
        <f ca="1">'F12_Excluding POA'!$E$54/12</f>
        <v>1.7433342368323322E-3</v>
      </c>
      <c r="P57" s="144">
        <f t="shared" ca="1" si="23"/>
        <v>2.0920010841987982E-2</v>
      </c>
    </row>
    <row r="58" spans="2:27">
      <c r="B58" s="145" t="s">
        <v>618</v>
      </c>
      <c r="C58" s="151" t="s">
        <v>619</v>
      </c>
      <c r="D58" s="144">
        <f ca="1">'F12_Excluding POA'!$E$55/12</f>
        <v>8.2044503399420723E-2</v>
      </c>
      <c r="E58" s="144">
        <f ca="1">'F12_Excluding POA'!$E$55/12</f>
        <v>8.2044503399420723E-2</v>
      </c>
      <c r="F58" s="144">
        <f ca="1">'F12_Excluding POA'!$E$55/12</f>
        <v>8.2044503399420723E-2</v>
      </c>
      <c r="G58" s="144">
        <f ca="1">'F12_Excluding POA'!$E$55/12</f>
        <v>8.2044503399420723E-2</v>
      </c>
      <c r="H58" s="144">
        <f ca="1">'F12_Excluding POA'!$E$55/12</f>
        <v>8.2044503399420723E-2</v>
      </c>
      <c r="I58" s="144">
        <f ca="1">'F12_Excluding POA'!$E$55/12</f>
        <v>8.2044503399420723E-2</v>
      </c>
      <c r="J58" s="144">
        <f ca="1">'F12_Excluding POA'!$E$55/12</f>
        <v>8.2044503399420723E-2</v>
      </c>
      <c r="K58" s="144">
        <f ca="1">'F12_Excluding POA'!$E$55/12</f>
        <v>8.2044503399420723E-2</v>
      </c>
      <c r="L58" s="144">
        <f ca="1">'F12_Excluding POA'!$E$55/12</f>
        <v>8.2044503399420723E-2</v>
      </c>
      <c r="M58" s="144">
        <f ca="1">'F12_Excluding POA'!$E$55/12</f>
        <v>8.2044503399420723E-2</v>
      </c>
      <c r="N58" s="144">
        <f ca="1">'F12_Excluding POA'!$E$55/12</f>
        <v>8.2044503399420723E-2</v>
      </c>
      <c r="O58" s="144">
        <f ca="1">'F12_Excluding POA'!$E$55/12</f>
        <v>8.2044503399420723E-2</v>
      </c>
      <c r="P58" s="144">
        <f t="shared" ca="1" si="23"/>
        <v>0.98453404079304863</v>
      </c>
    </row>
    <row r="59" spans="2:27">
      <c r="B59" s="145" t="s">
        <v>666</v>
      </c>
      <c r="C59" s="151" t="s">
        <v>620</v>
      </c>
      <c r="D59" s="144">
        <f ca="1">'F12_Excluding POA'!$E$56/12</f>
        <v>4.2886135231494225E-2</v>
      </c>
      <c r="E59" s="144">
        <f ca="1">'F12_Excluding POA'!$E$56/12</f>
        <v>4.2886135231494225E-2</v>
      </c>
      <c r="F59" s="144">
        <f ca="1">'F12_Excluding POA'!$E$56/12</f>
        <v>4.2886135231494225E-2</v>
      </c>
      <c r="G59" s="144">
        <f ca="1">'F12_Excluding POA'!$E$56/12</f>
        <v>4.2886135231494225E-2</v>
      </c>
      <c r="H59" s="144">
        <f ca="1">'F12_Excluding POA'!$E$56/12</f>
        <v>4.2886135231494225E-2</v>
      </c>
      <c r="I59" s="144">
        <f ca="1">'F12_Excluding POA'!$E$56/12</f>
        <v>4.2886135231494225E-2</v>
      </c>
      <c r="J59" s="144">
        <f ca="1">'F12_Excluding POA'!$E$56/12</f>
        <v>4.2886135231494225E-2</v>
      </c>
      <c r="K59" s="144">
        <f ca="1">'F12_Excluding POA'!$E$56/12</f>
        <v>4.2886135231494225E-2</v>
      </c>
      <c r="L59" s="144">
        <f ca="1">'F12_Excluding POA'!$E$56/12</f>
        <v>4.2886135231494225E-2</v>
      </c>
      <c r="M59" s="144">
        <f ca="1">'F12_Excluding POA'!$E$56/12</f>
        <v>4.2886135231494225E-2</v>
      </c>
      <c r="N59" s="144">
        <f ca="1">'F12_Excluding POA'!$E$56/12</f>
        <v>4.2886135231494225E-2</v>
      </c>
      <c r="O59" s="144">
        <f ca="1">'F12_Excluding POA'!$E$56/12</f>
        <v>4.2886135231494225E-2</v>
      </c>
      <c r="P59" s="144">
        <f t="shared" ca="1" si="23"/>
        <v>0.51463362277793057</v>
      </c>
    </row>
    <row r="60" spans="2:27">
      <c r="B60" s="145" t="s">
        <v>667</v>
      </c>
      <c r="C60" s="151" t="s">
        <v>621</v>
      </c>
      <c r="D60" s="144">
        <f ca="1">'F12_Excluding POA'!$E$57/12</f>
        <v>3.0031234428534115E-2</v>
      </c>
      <c r="E60" s="144">
        <f ca="1">'F12_Excluding POA'!$E$57/12</f>
        <v>3.0031234428534115E-2</v>
      </c>
      <c r="F60" s="144">
        <f ca="1">'F12_Excluding POA'!$E$57/12</f>
        <v>3.0031234428534115E-2</v>
      </c>
      <c r="G60" s="144">
        <f ca="1">'F12_Excluding POA'!$E$57/12</f>
        <v>3.0031234428534115E-2</v>
      </c>
      <c r="H60" s="144">
        <f ca="1">'F12_Excluding POA'!$E$57/12</f>
        <v>3.0031234428534115E-2</v>
      </c>
      <c r="I60" s="144">
        <f ca="1">'F12_Excluding POA'!$E$57/12</f>
        <v>3.0031234428534115E-2</v>
      </c>
      <c r="J60" s="144">
        <f ca="1">'F12_Excluding POA'!$E$57/12</f>
        <v>3.0031234428534115E-2</v>
      </c>
      <c r="K60" s="144">
        <f ca="1">'F12_Excluding POA'!$E$57/12</f>
        <v>3.0031234428534115E-2</v>
      </c>
      <c r="L60" s="144">
        <f ca="1">'F12_Excluding POA'!$E$57/12</f>
        <v>3.0031234428534115E-2</v>
      </c>
      <c r="M60" s="144">
        <f ca="1">'F12_Excluding POA'!$E$57/12</f>
        <v>3.0031234428534115E-2</v>
      </c>
      <c r="N60" s="144">
        <f ca="1">'F12_Excluding POA'!$E$57/12</f>
        <v>3.0031234428534115E-2</v>
      </c>
      <c r="O60" s="144">
        <f ca="1">'F12_Excluding POA'!$E$57/12</f>
        <v>3.0031234428534115E-2</v>
      </c>
      <c r="P60" s="144">
        <f t="shared" ca="1" si="23"/>
        <v>0.36037481314240938</v>
      </c>
    </row>
    <row r="61" spans="2:27">
      <c r="B61" s="145" t="s">
        <v>668</v>
      </c>
      <c r="C61" s="151" t="s">
        <v>622</v>
      </c>
      <c r="D61" s="144">
        <f ca="1">'F12_Excluding POA'!$E$58/12</f>
        <v>5.6547381229541248E-2</v>
      </c>
      <c r="E61" s="144">
        <f ca="1">'F12_Excluding POA'!$E$58/12</f>
        <v>5.6547381229541248E-2</v>
      </c>
      <c r="F61" s="144">
        <f ca="1">'F12_Excluding POA'!$E$58/12</f>
        <v>5.6547381229541248E-2</v>
      </c>
      <c r="G61" s="144">
        <f ca="1">'F12_Excluding POA'!$E$58/12</f>
        <v>5.6547381229541248E-2</v>
      </c>
      <c r="H61" s="144">
        <f ca="1">'F12_Excluding POA'!$E$58/12</f>
        <v>5.6547381229541248E-2</v>
      </c>
      <c r="I61" s="144">
        <f ca="1">'F12_Excluding POA'!$E$58/12</f>
        <v>5.6547381229541248E-2</v>
      </c>
      <c r="J61" s="144">
        <f ca="1">'F12_Excluding POA'!$E$58/12</f>
        <v>5.6547381229541248E-2</v>
      </c>
      <c r="K61" s="144">
        <f ca="1">'F12_Excluding POA'!$E$58/12</f>
        <v>5.6547381229541248E-2</v>
      </c>
      <c r="L61" s="144">
        <f ca="1">'F12_Excluding POA'!$E$58/12</f>
        <v>5.6547381229541248E-2</v>
      </c>
      <c r="M61" s="144">
        <f ca="1">'F12_Excluding POA'!$E$58/12</f>
        <v>5.6547381229541248E-2</v>
      </c>
      <c r="N61" s="144">
        <f ca="1">'F12_Excluding POA'!$E$58/12</f>
        <v>5.6547381229541248E-2</v>
      </c>
      <c r="O61" s="144">
        <f ca="1">'F12_Excluding POA'!$E$58/12</f>
        <v>5.6547381229541248E-2</v>
      </c>
      <c r="P61" s="144">
        <f t="shared" ca="1" si="23"/>
        <v>0.67856857475449506</v>
      </c>
    </row>
    <row r="62" spans="2:27">
      <c r="B62" s="145"/>
      <c r="C62" s="146"/>
      <c r="D62" s="144">
        <f ca="1">'F12_Excluding POA'!$E$59/12</f>
        <v>5.6547381229541248E-2</v>
      </c>
      <c r="E62" s="144">
        <f ca="1">'F12_Excluding POA'!$E$59/12</f>
        <v>5.6547381229541248E-2</v>
      </c>
      <c r="F62" s="144">
        <f ca="1">'F12_Excluding POA'!$E$59/12</f>
        <v>5.6547381229541248E-2</v>
      </c>
      <c r="G62" s="144">
        <f ca="1">'F12_Excluding POA'!$E$59/12</f>
        <v>5.6547381229541248E-2</v>
      </c>
      <c r="H62" s="144">
        <f ca="1">'F12_Excluding POA'!$E$59/12</f>
        <v>5.6547381229541248E-2</v>
      </c>
      <c r="I62" s="144">
        <f ca="1">'F12_Excluding POA'!$E$59/12</f>
        <v>5.6547381229541248E-2</v>
      </c>
      <c r="J62" s="144">
        <f ca="1">'F12_Excluding POA'!$E$59/12</f>
        <v>5.6547381229541248E-2</v>
      </c>
      <c r="K62" s="144">
        <f ca="1">'F12_Excluding POA'!$E$59/12</f>
        <v>5.6547381229541248E-2</v>
      </c>
      <c r="L62" s="144">
        <f ca="1">'F12_Excluding POA'!$E$59/12</f>
        <v>5.6547381229541248E-2</v>
      </c>
      <c r="M62" s="144">
        <f ca="1">'F12_Excluding POA'!$E$59/12</f>
        <v>5.6547381229541248E-2</v>
      </c>
      <c r="N62" s="144">
        <f ca="1">'F12_Excluding POA'!$E$59/12</f>
        <v>5.6547381229541248E-2</v>
      </c>
      <c r="O62" s="144">
        <f ca="1">'F12_Excluding POA'!$E$59/12</f>
        <v>5.6547381229541248E-2</v>
      </c>
      <c r="P62" s="144">
        <f t="shared" ca="1" si="23"/>
        <v>0.67856857475449506</v>
      </c>
    </row>
    <row r="63" spans="2:27">
      <c r="B63" s="142">
        <v>2</v>
      </c>
      <c r="C63" s="143" t="s">
        <v>623</v>
      </c>
      <c r="D63" s="144"/>
      <c r="E63" s="144"/>
      <c r="F63" s="144"/>
      <c r="G63" s="144"/>
      <c r="H63" s="144"/>
      <c r="I63" s="144"/>
      <c r="J63" s="144"/>
      <c r="K63" s="144"/>
      <c r="L63" s="144"/>
      <c r="M63" s="144"/>
      <c r="N63" s="144"/>
      <c r="O63" s="144"/>
      <c r="P63" s="144"/>
    </row>
    <row r="64" spans="2:27">
      <c r="B64" s="145"/>
      <c r="C64" s="146"/>
      <c r="D64" s="144"/>
      <c r="E64" s="144"/>
      <c r="F64" s="144"/>
      <c r="G64" s="144"/>
      <c r="H64" s="144"/>
      <c r="I64" s="144"/>
      <c r="J64" s="144"/>
      <c r="K64" s="144"/>
      <c r="L64" s="144"/>
      <c r="M64" s="144"/>
      <c r="N64" s="144"/>
      <c r="O64" s="144"/>
      <c r="P64" s="144"/>
    </row>
    <row r="65" spans="2:16">
      <c r="B65" s="145"/>
      <c r="C65" s="146"/>
      <c r="D65" s="144"/>
      <c r="E65" s="144"/>
      <c r="F65" s="144"/>
      <c r="G65" s="144"/>
      <c r="H65" s="144"/>
      <c r="I65" s="144"/>
      <c r="J65" s="144"/>
      <c r="K65" s="144"/>
      <c r="L65" s="144"/>
      <c r="M65" s="144"/>
      <c r="N65" s="144"/>
      <c r="O65" s="144"/>
      <c r="P65" s="144"/>
    </row>
    <row r="66" spans="2:16">
      <c r="B66" s="142"/>
      <c r="C66" s="146"/>
      <c r="D66" s="144"/>
      <c r="E66" s="144"/>
      <c r="F66" s="144"/>
      <c r="G66" s="144"/>
      <c r="H66" s="144"/>
      <c r="I66" s="144"/>
      <c r="J66" s="144"/>
      <c r="K66" s="144"/>
      <c r="L66" s="144"/>
      <c r="M66" s="144"/>
      <c r="N66" s="144"/>
      <c r="O66" s="144"/>
      <c r="P66" s="144"/>
    </row>
    <row r="67" spans="2:16">
      <c r="B67" s="142">
        <v>3</v>
      </c>
      <c r="C67" s="143" t="s">
        <v>624</v>
      </c>
      <c r="D67" s="144">
        <v>0</v>
      </c>
      <c r="E67" s="144">
        <v>0</v>
      </c>
      <c r="F67" s="144">
        <v>0</v>
      </c>
      <c r="G67" s="144">
        <v>0</v>
      </c>
      <c r="H67" s="144">
        <v>0</v>
      </c>
      <c r="I67" s="144">
        <v>0</v>
      </c>
      <c r="J67" s="144">
        <v>0</v>
      </c>
      <c r="K67" s="144">
        <v>0</v>
      </c>
      <c r="L67" s="144">
        <v>0</v>
      </c>
      <c r="M67" s="144">
        <v>0</v>
      </c>
      <c r="N67" s="144">
        <v>0</v>
      </c>
      <c r="O67" s="144">
        <v>0</v>
      </c>
      <c r="P67" s="144">
        <f t="shared" ref="P67" si="24">SUM(D67:O67)</f>
        <v>0</v>
      </c>
    </row>
    <row r="68" spans="2:16">
      <c r="B68" s="147">
        <v>4</v>
      </c>
      <c r="C68" s="148" t="s">
        <v>625</v>
      </c>
      <c r="D68" s="324">
        <f t="shared" ref="D68:O68" ca="1" si="25">SUM(D44:D67)</f>
        <v>76.565232106571656</v>
      </c>
      <c r="E68" s="324">
        <f t="shared" ca="1" si="25"/>
        <v>76.565232106571656</v>
      </c>
      <c r="F68" s="324">
        <f t="shared" ca="1" si="25"/>
        <v>76.565232106571656</v>
      </c>
      <c r="G68" s="324">
        <f t="shared" ca="1" si="25"/>
        <v>76.565232106571656</v>
      </c>
      <c r="H68" s="324">
        <f t="shared" ca="1" si="25"/>
        <v>76.565232106571656</v>
      </c>
      <c r="I68" s="324">
        <f t="shared" ca="1" si="25"/>
        <v>76.565232106571656</v>
      </c>
      <c r="J68" s="324">
        <f t="shared" ca="1" si="25"/>
        <v>76.565232106571656</v>
      </c>
      <c r="K68" s="324">
        <f t="shared" ca="1" si="25"/>
        <v>76.565232106571656</v>
      </c>
      <c r="L68" s="324">
        <f t="shared" ca="1" si="25"/>
        <v>76.565232106571656</v>
      </c>
      <c r="M68" s="324">
        <f t="shared" ca="1" si="25"/>
        <v>76.565232106571656</v>
      </c>
      <c r="N68" s="324">
        <f t="shared" ca="1" si="25"/>
        <v>76.565232106571656</v>
      </c>
      <c r="O68" s="324">
        <f t="shared" ca="1" si="25"/>
        <v>76.565232106571656</v>
      </c>
      <c r="P68" s="324">
        <f ca="1">SUM(D68:O68)</f>
        <v>918.78278527885993</v>
      </c>
    </row>
    <row r="71" spans="2:16">
      <c r="B71" s="8" t="s">
        <v>630</v>
      </c>
      <c r="C71" s="7"/>
      <c r="G71" s="7"/>
      <c r="I71" s="8"/>
      <c r="L71" s="8"/>
    </row>
    <row r="72" spans="2:16">
      <c r="C72" s="7"/>
      <c r="G72" s="7"/>
      <c r="I72" s="8"/>
      <c r="L72" s="8"/>
      <c r="P72" s="8" t="s">
        <v>52</v>
      </c>
    </row>
    <row r="73" spans="2:16" s="8" customFormat="1">
      <c r="B73" s="140" t="s">
        <v>576</v>
      </c>
      <c r="C73" s="140" t="s">
        <v>53</v>
      </c>
      <c r="D73" s="141" t="s">
        <v>577</v>
      </c>
      <c r="E73" s="141" t="s">
        <v>578</v>
      </c>
      <c r="F73" s="141" t="s">
        <v>579</v>
      </c>
      <c r="G73" s="141" t="s">
        <v>580</v>
      </c>
      <c r="H73" s="141" t="s">
        <v>581</v>
      </c>
      <c r="I73" s="141" t="s">
        <v>582</v>
      </c>
      <c r="J73" s="141" t="s">
        <v>583</v>
      </c>
      <c r="K73" s="141" t="s">
        <v>584</v>
      </c>
      <c r="L73" s="141" t="s">
        <v>585</v>
      </c>
      <c r="M73" s="141" t="s">
        <v>586</v>
      </c>
      <c r="N73" s="141" t="s">
        <v>587</v>
      </c>
      <c r="O73" s="141" t="s">
        <v>588</v>
      </c>
      <c r="P73" s="141" t="s">
        <v>219</v>
      </c>
    </row>
    <row r="74" spans="2:16">
      <c r="B74" s="142">
        <v>1</v>
      </c>
      <c r="C74" s="143" t="s">
        <v>589</v>
      </c>
    </row>
    <row r="75" spans="2:16">
      <c r="B75" s="145" t="s">
        <v>590</v>
      </c>
      <c r="C75" s="151" t="s">
        <v>591</v>
      </c>
      <c r="D75" s="144">
        <f ca="1">'F12_Excluding POA'!$F$41/12</f>
        <v>65.489485553772226</v>
      </c>
      <c r="E75" s="144">
        <f ca="1">'F12_Excluding POA'!$F$41/12</f>
        <v>65.489485553772226</v>
      </c>
      <c r="F75" s="144">
        <f ca="1">'F12_Excluding POA'!$F$41/12</f>
        <v>65.489485553772226</v>
      </c>
      <c r="G75" s="144">
        <f ca="1">'F12_Excluding POA'!$F$41/12</f>
        <v>65.489485553772226</v>
      </c>
      <c r="H75" s="144">
        <f ca="1">'F12_Excluding POA'!$F$41/12</f>
        <v>65.489485553772226</v>
      </c>
      <c r="I75" s="144">
        <f ca="1">'F12_Excluding POA'!$F$41/12</f>
        <v>65.489485553772226</v>
      </c>
      <c r="J75" s="144">
        <f ca="1">'F12_Excluding POA'!$F$41/12</f>
        <v>65.489485553772226</v>
      </c>
      <c r="K75" s="144">
        <f ca="1">'F12_Excluding POA'!$F$41/12</f>
        <v>65.489485553772226</v>
      </c>
      <c r="L75" s="144">
        <f ca="1">'F12_Excluding POA'!$F$41/12</f>
        <v>65.489485553772226</v>
      </c>
      <c r="M75" s="144">
        <f ca="1">'F12_Excluding POA'!$F$41/12</f>
        <v>65.489485553772226</v>
      </c>
      <c r="N75" s="144">
        <f ca="1">'F12_Excluding POA'!$F$41/12</f>
        <v>65.489485553772226</v>
      </c>
      <c r="O75" s="144">
        <f ca="1">'F12_Excluding POA'!$F$41/12</f>
        <v>65.489485553772226</v>
      </c>
      <c r="P75" s="144">
        <f t="shared" ref="P75:P93" ca="1" si="26">SUM(D75:O75)</f>
        <v>785.87382664526694</v>
      </c>
    </row>
    <row r="76" spans="2:16">
      <c r="B76" s="145" t="s">
        <v>592</v>
      </c>
      <c r="C76" s="151" t="s">
        <v>593</v>
      </c>
      <c r="D76" s="144">
        <f ca="1">'F12_Excluding POA'!$F$42/12</f>
        <v>2.8232728246810264</v>
      </c>
      <c r="E76" s="144">
        <f ca="1">'F12_Excluding POA'!$F$42/12</f>
        <v>2.8232728246810264</v>
      </c>
      <c r="F76" s="144">
        <f ca="1">'F12_Excluding POA'!$F$42/12</f>
        <v>2.8232728246810264</v>
      </c>
      <c r="G76" s="144">
        <f ca="1">'F12_Excluding POA'!$F$42/12</f>
        <v>2.8232728246810264</v>
      </c>
      <c r="H76" s="144">
        <f ca="1">'F12_Excluding POA'!$F$42/12</f>
        <v>2.8232728246810264</v>
      </c>
      <c r="I76" s="144">
        <f ca="1">'F12_Excluding POA'!$F$42/12</f>
        <v>2.8232728246810264</v>
      </c>
      <c r="J76" s="144">
        <f ca="1">'F12_Excluding POA'!$F$42/12</f>
        <v>2.8232728246810264</v>
      </c>
      <c r="K76" s="144">
        <f ca="1">'F12_Excluding POA'!$F$42/12</f>
        <v>2.8232728246810264</v>
      </c>
      <c r="L76" s="144">
        <f ca="1">'F12_Excluding POA'!$F$42/12</f>
        <v>2.8232728246810264</v>
      </c>
      <c r="M76" s="144">
        <f ca="1">'F12_Excluding POA'!$F$42/12</f>
        <v>2.8232728246810264</v>
      </c>
      <c r="N76" s="144">
        <f ca="1">'F12_Excluding POA'!$F$42/12</f>
        <v>2.8232728246810264</v>
      </c>
      <c r="O76" s="144">
        <f ca="1">'F12_Excluding POA'!$F$42/12</f>
        <v>2.8232728246810264</v>
      </c>
      <c r="P76" s="144">
        <f t="shared" ca="1" si="26"/>
        <v>33.879273896172315</v>
      </c>
    </row>
    <row r="77" spans="2:16">
      <c r="B77" s="145" t="s">
        <v>594</v>
      </c>
      <c r="C77" s="151" t="s">
        <v>595</v>
      </c>
      <c r="D77" s="144">
        <f ca="1">'F12_Excluding POA'!$F$43/12</f>
        <v>4.9417851868624334</v>
      </c>
      <c r="E77" s="144">
        <f ca="1">'F12_Excluding POA'!$F$43/12</f>
        <v>4.9417851868624334</v>
      </c>
      <c r="F77" s="144">
        <f ca="1">'F12_Excluding POA'!$F$43/12</f>
        <v>4.9417851868624334</v>
      </c>
      <c r="G77" s="144">
        <f ca="1">'F12_Excluding POA'!$F$43/12</f>
        <v>4.9417851868624334</v>
      </c>
      <c r="H77" s="144">
        <f ca="1">'F12_Excluding POA'!$F$43/12</f>
        <v>4.9417851868624334</v>
      </c>
      <c r="I77" s="144">
        <f ca="1">'F12_Excluding POA'!$F$43/12</f>
        <v>4.9417851868624334</v>
      </c>
      <c r="J77" s="144">
        <f ca="1">'F12_Excluding POA'!$F$43/12</f>
        <v>4.9417851868624334</v>
      </c>
      <c r="K77" s="144">
        <f ca="1">'F12_Excluding POA'!$F$43/12</f>
        <v>4.9417851868624334</v>
      </c>
      <c r="L77" s="144">
        <f ca="1">'F12_Excluding POA'!$F$43/12</f>
        <v>4.9417851868624334</v>
      </c>
      <c r="M77" s="144">
        <f ca="1">'F12_Excluding POA'!$F$43/12</f>
        <v>4.9417851868624334</v>
      </c>
      <c r="N77" s="144">
        <f ca="1">'F12_Excluding POA'!$F$43/12</f>
        <v>4.9417851868624334</v>
      </c>
      <c r="O77" s="144">
        <f ca="1">'F12_Excluding POA'!$F$43/12</f>
        <v>4.9417851868624334</v>
      </c>
      <c r="P77" s="144">
        <f t="shared" ca="1" si="26"/>
        <v>59.301422242349197</v>
      </c>
    </row>
    <row r="78" spans="2:16">
      <c r="B78" s="145" t="s">
        <v>596</v>
      </c>
      <c r="C78" s="151" t="s">
        <v>597</v>
      </c>
      <c r="D78" s="144">
        <f ca="1">'F12_Excluding POA'!$F$44/12</f>
        <v>2.2416619392170181</v>
      </c>
      <c r="E78" s="144">
        <f ca="1">'F12_Excluding POA'!$F$44/12</f>
        <v>2.2416619392170181</v>
      </c>
      <c r="F78" s="144">
        <f ca="1">'F12_Excluding POA'!$F$44/12</f>
        <v>2.2416619392170181</v>
      </c>
      <c r="G78" s="144">
        <f ca="1">'F12_Excluding POA'!$F$44/12</f>
        <v>2.2416619392170181</v>
      </c>
      <c r="H78" s="144">
        <f ca="1">'F12_Excluding POA'!$F$44/12</f>
        <v>2.2416619392170181</v>
      </c>
      <c r="I78" s="144">
        <f ca="1">'F12_Excluding POA'!$F$44/12</f>
        <v>2.2416619392170181</v>
      </c>
      <c r="J78" s="144">
        <f ca="1">'F12_Excluding POA'!$F$44/12</f>
        <v>2.2416619392170181</v>
      </c>
      <c r="K78" s="144">
        <f ca="1">'F12_Excluding POA'!$F$44/12</f>
        <v>2.2416619392170181</v>
      </c>
      <c r="L78" s="144">
        <f ca="1">'F12_Excluding POA'!$F$44/12</f>
        <v>2.2416619392170181</v>
      </c>
      <c r="M78" s="144">
        <f ca="1">'F12_Excluding POA'!$F$44/12</f>
        <v>2.2416619392170181</v>
      </c>
      <c r="N78" s="144">
        <f ca="1">'F12_Excluding POA'!$F$44/12</f>
        <v>2.2416619392170181</v>
      </c>
      <c r="O78" s="144">
        <f ca="1">'F12_Excluding POA'!$F$44/12</f>
        <v>2.2416619392170181</v>
      </c>
      <c r="P78" s="144">
        <f t="shared" ca="1" si="26"/>
        <v>26.899943270604215</v>
      </c>
    </row>
    <row r="79" spans="2:16">
      <c r="B79" s="145" t="s">
        <v>598</v>
      </c>
      <c r="C79" s="151" t="s">
        <v>599</v>
      </c>
      <c r="D79" s="144">
        <f ca="1">'F12_Excluding POA'!$F$45/12</f>
        <v>1.5313325011397823</v>
      </c>
      <c r="E79" s="144">
        <f ca="1">'F12_Excluding POA'!$F$45/12</f>
        <v>1.5313325011397823</v>
      </c>
      <c r="F79" s="144">
        <f ca="1">'F12_Excluding POA'!$F$45/12</f>
        <v>1.5313325011397823</v>
      </c>
      <c r="G79" s="144">
        <f ca="1">'F12_Excluding POA'!$F$45/12</f>
        <v>1.5313325011397823</v>
      </c>
      <c r="H79" s="144">
        <f ca="1">'F12_Excluding POA'!$F$45/12</f>
        <v>1.5313325011397823</v>
      </c>
      <c r="I79" s="144">
        <f ca="1">'F12_Excluding POA'!$F$45/12</f>
        <v>1.5313325011397823</v>
      </c>
      <c r="J79" s="144">
        <f ca="1">'F12_Excluding POA'!$F$45/12</f>
        <v>1.5313325011397823</v>
      </c>
      <c r="K79" s="144">
        <f ca="1">'F12_Excluding POA'!$F$45/12</f>
        <v>1.5313325011397823</v>
      </c>
      <c r="L79" s="144">
        <f ca="1">'F12_Excluding POA'!$F$45/12</f>
        <v>1.5313325011397823</v>
      </c>
      <c r="M79" s="144">
        <f ca="1">'F12_Excluding POA'!$F$45/12</f>
        <v>1.5313325011397823</v>
      </c>
      <c r="N79" s="144">
        <f ca="1">'F12_Excluding POA'!$F$45/12</f>
        <v>1.5313325011397823</v>
      </c>
      <c r="O79" s="144">
        <f ca="1">'F12_Excluding POA'!$F$45/12</f>
        <v>1.5313325011397823</v>
      </c>
      <c r="P79" s="144">
        <f t="shared" ca="1" si="26"/>
        <v>18.375990013677391</v>
      </c>
    </row>
    <row r="80" spans="2:16">
      <c r="B80" s="145" t="s">
        <v>600</v>
      </c>
      <c r="C80" s="151" t="s">
        <v>601</v>
      </c>
      <c r="D80" s="144">
        <f ca="1">'F12_Excluding POA'!$F$46/12</f>
        <v>2.6745815114328844E-2</v>
      </c>
      <c r="E80" s="144">
        <f ca="1">'F12_Excluding POA'!$F$46/12</f>
        <v>2.6745815114328844E-2</v>
      </c>
      <c r="F80" s="144">
        <f ca="1">'F12_Excluding POA'!$F$46/12</f>
        <v>2.6745815114328844E-2</v>
      </c>
      <c r="G80" s="144">
        <f ca="1">'F12_Excluding POA'!$F$46/12</f>
        <v>2.6745815114328844E-2</v>
      </c>
      <c r="H80" s="144">
        <f ca="1">'F12_Excluding POA'!$F$46/12</f>
        <v>2.6745815114328844E-2</v>
      </c>
      <c r="I80" s="144">
        <f ca="1">'F12_Excluding POA'!$F$46/12</f>
        <v>2.6745815114328844E-2</v>
      </c>
      <c r="J80" s="144">
        <f ca="1">'F12_Excluding POA'!$F$46/12</f>
        <v>2.6745815114328844E-2</v>
      </c>
      <c r="K80" s="144">
        <f ca="1">'F12_Excluding POA'!$F$46/12</f>
        <v>2.6745815114328844E-2</v>
      </c>
      <c r="L80" s="144">
        <f ca="1">'F12_Excluding POA'!$F$46/12</f>
        <v>2.6745815114328844E-2</v>
      </c>
      <c r="M80" s="144">
        <f ca="1">'F12_Excluding POA'!$F$46/12</f>
        <v>2.6745815114328844E-2</v>
      </c>
      <c r="N80" s="144">
        <f ca="1">'F12_Excluding POA'!$F$46/12</f>
        <v>2.6745815114328844E-2</v>
      </c>
      <c r="O80" s="144">
        <f ca="1">'F12_Excluding POA'!$F$46/12</f>
        <v>2.6745815114328844E-2</v>
      </c>
      <c r="P80" s="144">
        <f t="shared" ca="1" si="26"/>
        <v>0.32094978137194602</v>
      </c>
    </row>
    <row r="81" spans="2:16">
      <c r="B81" s="145" t="s">
        <v>602</v>
      </c>
      <c r="C81" s="151" t="s">
        <v>603</v>
      </c>
      <c r="D81" s="144">
        <f ca="1">'F12_Excluding POA'!$F$47/12</f>
        <v>1.3751305131221608E-2</v>
      </c>
      <c r="E81" s="144">
        <f ca="1">'F12_Excluding POA'!$F$47/12</f>
        <v>1.3751305131221608E-2</v>
      </c>
      <c r="F81" s="144">
        <f ca="1">'F12_Excluding POA'!$F$47/12</f>
        <v>1.3751305131221608E-2</v>
      </c>
      <c r="G81" s="144">
        <f ca="1">'F12_Excluding POA'!$F$47/12</f>
        <v>1.3751305131221608E-2</v>
      </c>
      <c r="H81" s="144">
        <f ca="1">'F12_Excluding POA'!$F$47/12</f>
        <v>1.3751305131221608E-2</v>
      </c>
      <c r="I81" s="144">
        <f ca="1">'F12_Excluding POA'!$F$47/12</f>
        <v>1.3751305131221608E-2</v>
      </c>
      <c r="J81" s="144">
        <f ca="1">'F12_Excluding POA'!$F$47/12</f>
        <v>1.3751305131221608E-2</v>
      </c>
      <c r="K81" s="144">
        <f ca="1">'F12_Excluding POA'!$F$47/12</f>
        <v>1.3751305131221608E-2</v>
      </c>
      <c r="L81" s="144">
        <f ca="1">'F12_Excluding POA'!$F$47/12</f>
        <v>1.3751305131221608E-2</v>
      </c>
      <c r="M81" s="144">
        <f ca="1">'F12_Excluding POA'!$F$47/12</f>
        <v>1.3751305131221608E-2</v>
      </c>
      <c r="N81" s="144">
        <f ca="1">'F12_Excluding POA'!$F$47/12</f>
        <v>1.3751305131221608E-2</v>
      </c>
      <c r="O81" s="144">
        <f ca="1">'F12_Excluding POA'!$F$47/12</f>
        <v>1.3751305131221608E-2</v>
      </c>
      <c r="P81" s="144">
        <f t="shared" ca="1" si="26"/>
        <v>0.1650156615746593</v>
      </c>
    </row>
    <row r="82" spans="2:16">
      <c r="B82" s="145" t="s">
        <v>604</v>
      </c>
      <c r="C82" s="151" t="s">
        <v>605</v>
      </c>
      <c r="D82" s="144">
        <f ca="1">'F12_Excluding POA'!$F$48/12</f>
        <v>1.4848208341255742E-2</v>
      </c>
      <c r="E82" s="144">
        <f ca="1">'F12_Excluding POA'!$F$48/12</f>
        <v>1.4848208341255742E-2</v>
      </c>
      <c r="F82" s="144">
        <f ca="1">'F12_Excluding POA'!$F$48/12</f>
        <v>1.4848208341255742E-2</v>
      </c>
      <c r="G82" s="144">
        <f ca="1">'F12_Excluding POA'!$F$48/12</f>
        <v>1.4848208341255742E-2</v>
      </c>
      <c r="H82" s="144">
        <f ca="1">'F12_Excluding POA'!$F$48/12</f>
        <v>1.4848208341255742E-2</v>
      </c>
      <c r="I82" s="144">
        <f ca="1">'F12_Excluding POA'!$F$48/12</f>
        <v>1.4848208341255742E-2</v>
      </c>
      <c r="J82" s="144">
        <f ca="1">'F12_Excluding POA'!$F$48/12</f>
        <v>1.4848208341255742E-2</v>
      </c>
      <c r="K82" s="144">
        <f ca="1">'F12_Excluding POA'!$F$48/12</f>
        <v>1.4848208341255742E-2</v>
      </c>
      <c r="L82" s="144">
        <f ca="1">'F12_Excluding POA'!$F$48/12</f>
        <v>1.4848208341255742E-2</v>
      </c>
      <c r="M82" s="144">
        <f ca="1">'F12_Excluding POA'!$F$48/12</f>
        <v>1.4848208341255742E-2</v>
      </c>
      <c r="N82" s="144">
        <f ca="1">'F12_Excluding POA'!$F$48/12</f>
        <v>1.4848208341255742E-2</v>
      </c>
      <c r="O82" s="144">
        <f ca="1">'F12_Excluding POA'!$F$48/12</f>
        <v>1.4848208341255742E-2</v>
      </c>
      <c r="P82" s="144">
        <f t="shared" ca="1" si="26"/>
        <v>0.17817850009506894</v>
      </c>
    </row>
    <row r="83" spans="2:16">
      <c r="B83" s="145" t="s">
        <v>606</v>
      </c>
      <c r="C83" s="151" t="s">
        <v>607</v>
      </c>
      <c r="D83" s="144">
        <f ca="1">'F12_Excluding POA'!$F$49/12</f>
        <v>2.9647261672232011E-2</v>
      </c>
      <c r="E83" s="144">
        <f ca="1">'F12_Excluding POA'!$F$49/12</f>
        <v>2.9647261672232011E-2</v>
      </c>
      <c r="F83" s="144">
        <f ca="1">'F12_Excluding POA'!$F$49/12</f>
        <v>2.9647261672232011E-2</v>
      </c>
      <c r="G83" s="144">
        <f ca="1">'F12_Excluding POA'!$F$49/12</f>
        <v>2.9647261672232011E-2</v>
      </c>
      <c r="H83" s="144">
        <f ca="1">'F12_Excluding POA'!$F$49/12</f>
        <v>2.9647261672232011E-2</v>
      </c>
      <c r="I83" s="144">
        <f ca="1">'F12_Excluding POA'!$F$49/12</f>
        <v>2.9647261672232011E-2</v>
      </c>
      <c r="J83" s="144">
        <f ca="1">'F12_Excluding POA'!$F$49/12</f>
        <v>2.9647261672232011E-2</v>
      </c>
      <c r="K83" s="144">
        <f ca="1">'F12_Excluding POA'!$F$49/12</f>
        <v>2.9647261672232011E-2</v>
      </c>
      <c r="L83" s="144">
        <f ca="1">'F12_Excluding POA'!$F$49/12</f>
        <v>2.9647261672232011E-2</v>
      </c>
      <c r="M83" s="144">
        <f ca="1">'F12_Excluding POA'!$F$49/12</f>
        <v>2.9647261672232011E-2</v>
      </c>
      <c r="N83" s="144">
        <f ca="1">'F12_Excluding POA'!$F$49/12</f>
        <v>2.9647261672232011E-2</v>
      </c>
      <c r="O83" s="144">
        <f ca="1">'F12_Excluding POA'!$F$49/12</f>
        <v>2.9647261672232011E-2</v>
      </c>
      <c r="P83" s="144">
        <f t="shared" ca="1" si="26"/>
        <v>0.35576714006678417</v>
      </c>
    </row>
    <row r="84" spans="2:16">
      <c r="B84" s="145" t="s">
        <v>608</v>
      </c>
      <c r="C84" s="151" t="s">
        <v>609</v>
      </c>
      <c r="D84" s="144">
        <f ca="1">'F12_Excluding POA'!$F$50/12</f>
        <v>4.307068523567107E-2</v>
      </c>
      <c r="E84" s="144">
        <f ca="1">'F12_Excluding POA'!$F$50/12</f>
        <v>4.307068523567107E-2</v>
      </c>
      <c r="F84" s="144">
        <f ca="1">'F12_Excluding POA'!$F$50/12</f>
        <v>4.307068523567107E-2</v>
      </c>
      <c r="G84" s="144">
        <f ca="1">'F12_Excluding POA'!$F$50/12</f>
        <v>4.307068523567107E-2</v>
      </c>
      <c r="H84" s="144">
        <f ca="1">'F12_Excluding POA'!$F$50/12</f>
        <v>4.307068523567107E-2</v>
      </c>
      <c r="I84" s="144">
        <f ca="1">'F12_Excluding POA'!$F$50/12</f>
        <v>4.307068523567107E-2</v>
      </c>
      <c r="J84" s="144">
        <f ca="1">'F12_Excluding POA'!$F$50/12</f>
        <v>4.307068523567107E-2</v>
      </c>
      <c r="K84" s="144">
        <f ca="1">'F12_Excluding POA'!$F$50/12</f>
        <v>4.307068523567107E-2</v>
      </c>
      <c r="L84" s="144">
        <f ca="1">'F12_Excluding POA'!$F$50/12</f>
        <v>4.307068523567107E-2</v>
      </c>
      <c r="M84" s="144">
        <f ca="1">'F12_Excluding POA'!$F$50/12</f>
        <v>4.307068523567107E-2</v>
      </c>
      <c r="N84" s="144">
        <f ca="1">'F12_Excluding POA'!$F$50/12</f>
        <v>4.307068523567107E-2</v>
      </c>
      <c r="O84" s="144">
        <f ca="1">'F12_Excluding POA'!$F$50/12</f>
        <v>4.307068523567107E-2</v>
      </c>
      <c r="P84" s="144">
        <f t="shared" ca="1" si="26"/>
        <v>0.51684822282805298</v>
      </c>
    </row>
    <row r="85" spans="2:16">
      <c r="B85" s="145" t="s">
        <v>610</v>
      </c>
      <c r="C85" s="151" t="s">
        <v>611</v>
      </c>
      <c r="D85" s="144">
        <f ca="1">'F12_Excluding POA'!$F$51/12</f>
        <v>2.2012481307325801E-2</v>
      </c>
      <c r="E85" s="144">
        <f ca="1">'F12_Excluding POA'!$F$51/12</f>
        <v>2.2012481307325801E-2</v>
      </c>
      <c r="F85" s="144">
        <f ca="1">'F12_Excluding POA'!$F$51/12</f>
        <v>2.2012481307325801E-2</v>
      </c>
      <c r="G85" s="144">
        <f ca="1">'F12_Excluding POA'!$F$51/12</f>
        <v>2.2012481307325801E-2</v>
      </c>
      <c r="H85" s="144">
        <f ca="1">'F12_Excluding POA'!$F$51/12</f>
        <v>2.2012481307325801E-2</v>
      </c>
      <c r="I85" s="144">
        <f ca="1">'F12_Excluding POA'!$F$51/12</f>
        <v>2.2012481307325801E-2</v>
      </c>
      <c r="J85" s="144">
        <f ca="1">'F12_Excluding POA'!$F$51/12</f>
        <v>2.2012481307325801E-2</v>
      </c>
      <c r="K85" s="144">
        <f ca="1">'F12_Excluding POA'!$F$51/12</f>
        <v>2.2012481307325801E-2</v>
      </c>
      <c r="L85" s="144">
        <f ca="1">'F12_Excluding POA'!$F$51/12</f>
        <v>2.2012481307325801E-2</v>
      </c>
      <c r="M85" s="144">
        <f ca="1">'F12_Excluding POA'!$F$51/12</f>
        <v>2.2012481307325801E-2</v>
      </c>
      <c r="N85" s="144">
        <f ca="1">'F12_Excluding POA'!$F$51/12</f>
        <v>2.2012481307325801E-2</v>
      </c>
      <c r="O85" s="144">
        <f ca="1">'F12_Excluding POA'!$F$51/12</f>
        <v>2.2012481307325801E-2</v>
      </c>
      <c r="P85" s="144">
        <f t="shared" ca="1" si="26"/>
        <v>0.26414977568790959</v>
      </c>
    </row>
    <row r="86" spans="2:16">
      <c r="B86" s="145" t="s">
        <v>612</v>
      </c>
      <c r="C86" s="151" t="s">
        <v>613</v>
      </c>
      <c r="D86" s="144">
        <f ca="1">'F12_Excluding POA'!$F$52/12</f>
        <v>1.4765027323099957E-2</v>
      </c>
      <c r="E86" s="144">
        <f ca="1">'F12_Excluding POA'!$F$52/12</f>
        <v>1.4765027323099957E-2</v>
      </c>
      <c r="F86" s="144">
        <f ca="1">'F12_Excluding POA'!$F$52/12</f>
        <v>1.4765027323099957E-2</v>
      </c>
      <c r="G86" s="144">
        <f ca="1">'F12_Excluding POA'!$F$52/12</f>
        <v>1.4765027323099957E-2</v>
      </c>
      <c r="H86" s="144">
        <f ca="1">'F12_Excluding POA'!$F$52/12</f>
        <v>1.4765027323099957E-2</v>
      </c>
      <c r="I86" s="144">
        <f ca="1">'F12_Excluding POA'!$F$52/12</f>
        <v>1.4765027323099957E-2</v>
      </c>
      <c r="J86" s="144">
        <f ca="1">'F12_Excluding POA'!$F$52/12</f>
        <v>1.4765027323099957E-2</v>
      </c>
      <c r="K86" s="144">
        <f ca="1">'F12_Excluding POA'!$F$52/12</f>
        <v>1.4765027323099957E-2</v>
      </c>
      <c r="L86" s="144">
        <f ca="1">'F12_Excluding POA'!$F$52/12</f>
        <v>1.4765027323099957E-2</v>
      </c>
      <c r="M86" s="144">
        <f ca="1">'F12_Excluding POA'!$F$52/12</f>
        <v>1.4765027323099957E-2</v>
      </c>
      <c r="N86" s="144">
        <f ca="1">'F12_Excluding POA'!$F$52/12</f>
        <v>1.4765027323099957E-2</v>
      </c>
      <c r="O86" s="144">
        <f ca="1">'F12_Excluding POA'!$F$52/12</f>
        <v>1.4765027323099957E-2</v>
      </c>
      <c r="P86" s="144">
        <f t="shared" ca="1" si="26"/>
        <v>0.17718032787719942</v>
      </c>
    </row>
    <row r="87" spans="2:16">
      <c r="B87" s="145" t="s">
        <v>614</v>
      </c>
      <c r="C87" s="151" t="s">
        <v>615</v>
      </c>
      <c r="D87" s="144">
        <f ca="1">'F12_Excluding POA'!$F$53/12</f>
        <v>5.1833098541891106E-3</v>
      </c>
      <c r="E87" s="144">
        <f ca="1">'F12_Excluding POA'!$F$53/12</f>
        <v>5.1833098541891106E-3</v>
      </c>
      <c r="F87" s="144">
        <f ca="1">'F12_Excluding POA'!$F$53/12</f>
        <v>5.1833098541891106E-3</v>
      </c>
      <c r="G87" s="144">
        <f ca="1">'F12_Excluding POA'!$F$53/12</f>
        <v>5.1833098541891106E-3</v>
      </c>
      <c r="H87" s="144">
        <f ca="1">'F12_Excluding POA'!$F$53/12</f>
        <v>5.1833098541891106E-3</v>
      </c>
      <c r="I87" s="144">
        <f ca="1">'F12_Excluding POA'!$F$53/12</f>
        <v>5.1833098541891106E-3</v>
      </c>
      <c r="J87" s="144">
        <f ca="1">'F12_Excluding POA'!$F$53/12</f>
        <v>5.1833098541891106E-3</v>
      </c>
      <c r="K87" s="144">
        <f ca="1">'F12_Excluding POA'!$F$53/12</f>
        <v>5.1833098541891106E-3</v>
      </c>
      <c r="L87" s="144">
        <f ca="1">'F12_Excluding POA'!$F$53/12</f>
        <v>5.1833098541891106E-3</v>
      </c>
      <c r="M87" s="144">
        <f ca="1">'F12_Excluding POA'!$F$53/12</f>
        <v>5.1833098541891106E-3</v>
      </c>
      <c r="N87" s="144">
        <f ca="1">'F12_Excluding POA'!$F$53/12</f>
        <v>5.1833098541891106E-3</v>
      </c>
      <c r="O87" s="144">
        <f ca="1">'F12_Excluding POA'!$F$53/12</f>
        <v>5.1833098541891106E-3</v>
      </c>
      <c r="P87" s="144">
        <f t="shared" ca="1" si="26"/>
        <v>6.2199718250269341E-2</v>
      </c>
    </row>
    <row r="88" spans="2:16">
      <c r="B88" s="145" t="s">
        <v>616</v>
      </c>
      <c r="C88" s="151" t="s">
        <v>617</v>
      </c>
      <c r="D88" s="144">
        <f ca="1">'F12_Excluding POA'!$F$54/12</f>
        <v>1.7067889757503196E-3</v>
      </c>
      <c r="E88" s="144">
        <f ca="1">'F12_Excluding POA'!$F$54/12</f>
        <v>1.7067889757503196E-3</v>
      </c>
      <c r="F88" s="144">
        <f ca="1">'F12_Excluding POA'!$F$54/12</f>
        <v>1.7067889757503196E-3</v>
      </c>
      <c r="G88" s="144">
        <f ca="1">'F12_Excluding POA'!$F$54/12</f>
        <v>1.7067889757503196E-3</v>
      </c>
      <c r="H88" s="144">
        <f ca="1">'F12_Excluding POA'!$F$54/12</f>
        <v>1.7067889757503196E-3</v>
      </c>
      <c r="I88" s="144">
        <f ca="1">'F12_Excluding POA'!$F$54/12</f>
        <v>1.7067889757503196E-3</v>
      </c>
      <c r="J88" s="144">
        <f ca="1">'F12_Excluding POA'!$F$54/12</f>
        <v>1.7067889757503196E-3</v>
      </c>
      <c r="K88" s="144">
        <f ca="1">'F12_Excluding POA'!$F$54/12</f>
        <v>1.7067889757503196E-3</v>
      </c>
      <c r="L88" s="144">
        <f ca="1">'F12_Excluding POA'!$F$54/12</f>
        <v>1.7067889757503196E-3</v>
      </c>
      <c r="M88" s="144">
        <f ca="1">'F12_Excluding POA'!$F$54/12</f>
        <v>1.7067889757503196E-3</v>
      </c>
      <c r="N88" s="144">
        <f ca="1">'F12_Excluding POA'!$F$54/12</f>
        <v>1.7067889757503196E-3</v>
      </c>
      <c r="O88" s="144">
        <f ca="1">'F12_Excluding POA'!$F$54/12</f>
        <v>1.7067889757503196E-3</v>
      </c>
      <c r="P88" s="144">
        <f t="shared" ca="1" si="26"/>
        <v>2.0481467709003831E-2</v>
      </c>
    </row>
    <row r="89" spans="2:16">
      <c r="B89" s="145" t="s">
        <v>618</v>
      </c>
      <c r="C89" s="151" t="s">
        <v>619</v>
      </c>
      <c r="D89" s="144">
        <f ca="1">'F12_Excluding POA'!$F$55/12</f>
        <v>8.2233005508291865E-2</v>
      </c>
      <c r="E89" s="144">
        <f ca="1">'F12_Excluding POA'!$F$55/12</f>
        <v>8.2233005508291865E-2</v>
      </c>
      <c r="F89" s="144">
        <f ca="1">'F12_Excluding POA'!$F$55/12</f>
        <v>8.2233005508291865E-2</v>
      </c>
      <c r="G89" s="144">
        <f ca="1">'F12_Excluding POA'!$F$55/12</f>
        <v>8.2233005508291865E-2</v>
      </c>
      <c r="H89" s="144">
        <f ca="1">'F12_Excluding POA'!$F$55/12</f>
        <v>8.2233005508291865E-2</v>
      </c>
      <c r="I89" s="144">
        <f ca="1">'F12_Excluding POA'!$F$55/12</f>
        <v>8.2233005508291865E-2</v>
      </c>
      <c r="J89" s="144">
        <f ca="1">'F12_Excluding POA'!$F$55/12</f>
        <v>8.2233005508291865E-2</v>
      </c>
      <c r="K89" s="144">
        <f ca="1">'F12_Excluding POA'!$F$55/12</f>
        <v>8.2233005508291865E-2</v>
      </c>
      <c r="L89" s="144">
        <f ca="1">'F12_Excluding POA'!$F$55/12</f>
        <v>8.2233005508291865E-2</v>
      </c>
      <c r="M89" s="144">
        <f ca="1">'F12_Excluding POA'!$F$55/12</f>
        <v>8.2233005508291865E-2</v>
      </c>
      <c r="N89" s="144">
        <f ca="1">'F12_Excluding POA'!$F$55/12</f>
        <v>8.2233005508291865E-2</v>
      </c>
      <c r="O89" s="144">
        <f ca="1">'F12_Excluding POA'!$F$55/12</f>
        <v>8.2233005508291865E-2</v>
      </c>
      <c r="P89" s="144">
        <f t="shared" ca="1" si="26"/>
        <v>0.98679606609950221</v>
      </c>
    </row>
    <row r="90" spans="2:16">
      <c r="B90" s="145" t="s">
        <v>666</v>
      </c>
      <c r="C90" s="151" t="s">
        <v>620</v>
      </c>
      <c r="D90" s="144">
        <f ca="1">'F12_Excluding POA'!$F$56/12</f>
        <v>4.1197040221956728E-2</v>
      </c>
      <c r="E90" s="144">
        <f ca="1">'F12_Excluding POA'!$F$56/12</f>
        <v>4.1197040221956728E-2</v>
      </c>
      <c r="F90" s="144">
        <f ca="1">'F12_Excluding POA'!$F$56/12</f>
        <v>4.1197040221956728E-2</v>
      </c>
      <c r="G90" s="144">
        <f ca="1">'F12_Excluding POA'!$F$56/12</f>
        <v>4.1197040221956728E-2</v>
      </c>
      <c r="H90" s="144">
        <f ca="1">'F12_Excluding POA'!$F$56/12</f>
        <v>4.1197040221956728E-2</v>
      </c>
      <c r="I90" s="144">
        <f ca="1">'F12_Excluding POA'!$F$56/12</f>
        <v>4.1197040221956728E-2</v>
      </c>
      <c r="J90" s="144">
        <f ca="1">'F12_Excluding POA'!$F$56/12</f>
        <v>4.1197040221956728E-2</v>
      </c>
      <c r="K90" s="144">
        <f ca="1">'F12_Excluding POA'!$F$56/12</f>
        <v>4.1197040221956728E-2</v>
      </c>
      <c r="L90" s="144">
        <f ca="1">'F12_Excluding POA'!$F$56/12</f>
        <v>4.1197040221956728E-2</v>
      </c>
      <c r="M90" s="144">
        <f ca="1">'F12_Excluding POA'!$F$56/12</f>
        <v>4.1197040221956728E-2</v>
      </c>
      <c r="N90" s="144">
        <f ca="1">'F12_Excluding POA'!$F$56/12</f>
        <v>4.1197040221956728E-2</v>
      </c>
      <c r="O90" s="144">
        <f ca="1">'F12_Excluding POA'!$F$56/12</f>
        <v>4.1197040221956728E-2</v>
      </c>
      <c r="P90" s="144">
        <f t="shared" ca="1" si="26"/>
        <v>0.49436448266348082</v>
      </c>
    </row>
    <row r="91" spans="2:16">
      <c r="B91" s="145" t="s">
        <v>667</v>
      </c>
      <c r="C91" s="151" t="s">
        <v>621</v>
      </c>
      <c r="D91" s="144">
        <f ca="1">'F12_Excluding POA'!$F$57/12</f>
        <v>2.8848437052886325E-2</v>
      </c>
      <c r="E91" s="144">
        <f ca="1">'F12_Excluding POA'!$F$57/12</f>
        <v>2.8848437052886325E-2</v>
      </c>
      <c r="F91" s="144">
        <f ca="1">'F12_Excluding POA'!$F$57/12</f>
        <v>2.8848437052886325E-2</v>
      </c>
      <c r="G91" s="144">
        <f ca="1">'F12_Excluding POA'!$F$57/12</f>
        <v>2.8848437052886325E-2</v>
      </c>
      <c r="H91" s="144">
        <f ca="1">'F12_Excluding POA'!$F$57/12</f>
        <v>2.8848437052886325E-2</v>
      </c>
      <c r="I91" s="144">
        <f ca="1">'F12_Excluding POA'!$F$57/12</f>
        <v>2.8848437052886325E-2</v>
      </c>
      <c r="J91" s="144">
        <f ca="1">'F12_Excluding POA'!$F$57/12</f>
        <v>2.8848437052886325E-2</v>
      </c>
      <c r="K91" s="144">
        <f ca="1">'F12_Excluding POA'!$F$57/12</f>
        <v>2.8848437052886325E-2</v>
      </c>
      <c r="L91" s="144">
        <f ca="1">'F12_Excluding POA'!$F$57/12</f>
        <v>2.8848437052886325E-2</v>
      </c>
      <c r="M91" s="144">
        <f ca="1">'F12_Excluding POA'!$F$57/12</f>
        <v>2.8848437052886325E-2</v>
      </c>
      <c r="N91" s="144">
        <f ca="1">'F12_Excluding POA'!$F$57/12</f>
        <v>2.8848437052886325E-2</v>
      </c>
      <c r="O91" s="144">
        <f ca="1">'F12_Excluding POA'!$F$57/12</f>
        <v>2.8848437052886325E-2</v>
      </c>
      <c r="P91" s="144">
        <f t="shared" ca="1" si="26"/>
        <v>0.34618124463463579</v>
      </c>
    </row>
    <row r="92" spans="2:16">
      <c r="B92" s="145" t="s">
        <v>668</v>
      </c>
      <c r="C92" s="151" t="s">
        <v>622</v>
      </c>
      <c r="D92" s="144">
        <f ca="1">'F12_Excluding POA'!$F$58/12</f>
        <v>5.4320230218575578E-2</v>
      </c>
      <c r="E92" s="144">
        <f ca="1">'F12_Excluding POA'!$F$58/12</f>
        <v>5.4320230218575578E-2</v>
      </c>
      <c r="F92" s="144">
        <f ca="1">'F12_Excluding POA'!$F$58/12</f>
        <v>5.4320230218575578E-2</v>
      </c>
      <c r="G92" s="144">
        <f ca="1">'F12_Excluding POA'!$F$58/12</f>
        <v>5.4320230218575578E-2</v>
      </c>
      <c r="H92" s="144">
        <f ca="1">'F12_Excluding POA'!$F$58/12</f>
        <v>5.4320230218575578E-2</v>
      </c>
      <c r="I92" s="144">
        <f ca="1">'F12_Excluding POA'!$F$58/12</f>
        <v>5.4320230218575578E-2</v>
      </c>
      <c r="J92" s="144">
        <f ca="1">'F12_Excluding POA'!$F$58/12</f>
        <v>5.4320230218575578E-2</v>
      </c>
      <c r="K92" s="144">
        <f ca="1">'F12_Excluding POA'!$F$58/12</f>
        <v>5.4320230218575578E-2</v>
      </c>
      <c r="L92" s="144">
        <f ca="1">'F12_Excluding POA'!$F$58/12</f>
        <v>5.4320230218575578E-2</v>
      </c>
      <c r="M92" s="144">
        <f ca="1">'F12_Excluding POA'!$F$58/12</f>
        <v>5.4320230218575578E-2</v>
      </c>
      <c r="N92" s="144">
        <f ca="1">'F12_Excluding POA'!$F$58/12</f>
        <v>5.4320230218575578E-2</v>
      </c>
      <c r="O92" s="144">
        <f ca="1">'F12_Excluding POA'!$F$58/12</f>
        <v>5.4320230218575578E-2</v>
      </c>
      <c r="P92" s="144">
        <f t="shared" ca="1" si="26"/>
        <v>0.65184276262290697</v>
      </c>
    </row>
    <row r="93" spans="2:16">
      <c r="B93" s="145"/>
      <c r="C93" s="146"/>
      <c r="D93" s="144">
        <f ca="1">'F12_Excluding POA'!$F$59/12</f>
        <v>5.4320230218575578E-2</v>
      </c>
      <c r="E93" s="144">
        <f ca="1">'F12_Excluding POA'!$F$59/12</f>
        <v>5.4320230218575578E-2</v>
      </c>
      <c r="F93" s="144">
        <f ca="1">'F12_Excluding POA'!$F$59/12</f>
        <v>5.4320230218575578E-2</v>
      </c>
      <c r="G93" s="144">
        <f ca="1">'F12_Excluding POA'!$F$59/12</f>
        <v>5.4320230218575578E-2</v>
      </c>
      <c r="H93" s="144">
        <f ca="1">'F12_Excluding POA'!$F$59/12</f>
        <v>5.4320230218575578E-2</v>
      </c>
      <c r="I93" s="144">
        <f ca="1">'F12_Excluding POA'!$F$59/12</f>
        <v>5.4320230218575578E-2</v>
      </c>
      <c r="J93" s="144">
        <f ca="1">'F12_Excluding POA'!$F$59/12</f>
        <v>5.4320230218575578E-2</v>
      </c>
      <c r="K93" s="144">
        <f ca="1">'F12_Excluding POA'!$F$59/12</f>
        <v>5.4320230218575578E-2</v>
      </c>
      <c r="L93" s="144">
        <f ca="1">'F12_Excluding POA'!$F$59/12</f>
        <v>5.4320230218575578E-2</v>
      </c>
      <c r="M93" s="144">
        <f ca="1">'F12_Excluding POA'!$F$59/12</f>
        <v>5.4320230218575578E-2</v>
      </c>
      <c r="N93" s="144">
        <f ca="1">'F12_Excluding POA'!$F$59/12</f>
        <v>5.4320230218575578E-2</v>
      </c>
      <c r="O93" s="144">
        <f ca="1">'F12_Excluding POA'!$F$59/12</f>
        <v>5.4320230218575578E-2</v>
      </c>
      <c r="P93" s="144">
        <f t="shared" ca="1" si="26"/>
        <v>0.65184276262290697</v>
      </c>
    </row>
    <row r="94" spans="2:16">
      <c r="B94" s="142">
        <v>2</v>
      </c>
      <c r="C94" s="143" t="s">
        <v>623</v>
      </c>
      <c r="D94" s="144"/>
      <c r="E94" s="144"/>
      <c r="F94" s="144"/>
      <c r="G94" s="144"/>
      <c r="H94" s="144"/>
      <c r="I94" s="144"/>
      <c r="J94" s="144"/>
      <c r="K94" s="144"/>
      <c r="L94" s="144"/>
      <c r="M94" s="144"/>
      <c r="N94" s="144"/>
      <c r="O94" s="144"/>
      <c r="P94" s="144"/>
    </row>
    <row r="95" spans="2:16">
      <c r="B95" s="145"/>
      <c r="C95" s="146"/>
      <c r="D95" s="144"/>
      <c r="E95" s="144"/>
      <c r="F95" s="144"/>
      <c r="G95" s="144"/>
      <c r="H95" s="144"/>
      <c r="I95" s="144"/>
      <c r="J95" s="144"/>
      <c r="K95" s="144"/>
      <c r="L95" s="144"/>
      <c r="M95" s="144"/>
      <c r="N95" s="144"/>
      <c r="O95" s="144"/>
      <c r="P95" s="144"/>
    </row>
    <row r="96" spans="2:16">
      <c r="B96" s="145"/>
      <c r="C96" s="146"/>
      <c r="D96" s="144"/>
      <c r="E96" s="144"/>
      <c r="F96" s="144"/>
      <c r="G96" s="144"/>
      <c r="H96" s="144"/>
      <c r="I96" s="144"/>
      <c r="J96" s="144"/>
      <c r="K96" s="144"/>
      <c r="L96" s="144"/>
      <c r="M96" s="144"/>
      <c r="N96" s="144"/>
      <c r="O96" s="144"/>
      <c r="P96" s="144"/>
    </row>
    <row r="97" spans="2:16">
      <c r="B97" s="142"/>
      <c r="C97" s="146" t="s">
        <v>629</v>
      </c>
      <c r="D97" s="144"/>
      <c r="E97" s="144"/>
      <c r="F97" s="144"/>
      <c r="G97" s="144"/>
      <c r="H97" s="144"/>
      <c r="I97" s="144"/>
      <c r="J97" s="144"/>
      <c r="K97" s="144"/>
      <c r="L97" s="144"/>
      <c r="M97" s="144"/>
      <c r="N97" s="144"/>
      <c r="O97" s="144"/>
      <c r="P97" s="144"/>
    </row>
    <row r="98" spans="2:16">
      <c r="B98" s="142">
        <v>3</v>
      </c>
      <c r="C98" s="143" t="s">
        <v>624</v>
      </c>
      <c r="D98" s="144">
        <v>0</v>
      </c>
      <c r="E98" s="144">
        <v>0</v>
      </c>
      <c r="F98" s="144">
        <v>0</v>
      </c>
      <c r="G98" s="144">
        <v>0</v>
      </c>
      <c r="H98" s="144">
        <v>0</v>
      </c>
      <c r="I98" s="144">
        <v>0</v>
      </c>
      <c r="J98" s="144">
        <v>0</v>
      </c>
      <c r="K98" s="144">
        <v>0</v>
      </c>
      <c r="L98" s="144">
        <v>0</v>
      </c>
      <c r="M98" s="144">
        <v>0</v>
      </c>
      <c r="N98" s="144">
        <v>0</v>
      </c>
      <c r="O98" s="144">
        <v>0</v>
      </c>
      <c r="P98" s="144">
        <v>0</v>
      </c>
    </row>
    <row r="99" spans="2:16">
      <c r="B99" s="142"/>
      <c r="C99" s="143" t="s">
        <v>348</v>
      </c>
      <c r="D99" s="144"/>
      <c r="E99" s="144"/>
      <c r="F99" s="144"/>
      <c r="G99" s="144"/>
      <c r="H99" s="144"/>
      <c r="I99" s="144"/>
      <c r="J99" s="144"/>
      <c r="K99" s="144"/>
      <c r="L99" s="144"/>
      <c r="M99" s="144"/>
      <c r="N99" s="144"/>
      <c r="O99" s="144"/>
      <c r="P99" s="144"/>
    </row>
    <row r="100" spans="2:16">
      <c r="B100" s="147">
        <v>4</v>
      </c>
      <c r="C100" s="148" t="s">
        <v>625</v>
      </c>
      <c r="D100" s="324">
        <f t="shared" ref="D100:P100" ca="1" si="27">SUM(D75:D99)</f>
        <v>77.460187831847861</v>
      </c>
      <c r="E100" s="324">
        <f t="shared" ca="1" si="27"/>
        <v>77.460187831847861</v>
      </c>
      <c r="F100" s="324">
        <f t="shared" ca="1" si="27"/>
        <v>77.460187831847861</v>
      </c>
      <c r="G100" s="324">
        <f t="shared" ca="1" si="27"/>
        <v>77.460187831847861</v>
      </c>
      <c r="H100" s="324">
        <f t="shared" ca="1" si="27"/>
        <v>77.460187831847861</v>
      </c>
      <c r="I100" s="324">
        <f t="shared" ca="1" si="27"/>
        <v>77.460187831847861</v>
      </c>
      <c r="J100" s="324">
        <f t="shared" ca="1" si="27"/>
        <v>77.460187831847861</v>
      </c>
      <c r="K100" s="324">
        <f t="shared" ca="1" si="27"/>
        <v>77.460187831847861</v>
      </c>
      <c r="L100" s="324">
        <f t="shared" ca="1" si="27"/>
        <v>77.460187831847861</v>
      </c>
      <c r="M100" s="324">
        <f t="shared" ca="1" si="27"/>
        <v>77.460187831847861</v>
      </c>
      <c r="N100" s="324">
        <f t="shared" ca="1" si="27"/>
        <v>77.460187831847861</v>
      </c>
      <c r="O100" s="324">
        <f t="shared" ca="1" si="27"/>
        <v>77.460187831847861</v>
      </c>
      <c r="P100" s="324">
        <f t="shared" ca="1" si="27"/>
        <v>929.52225398217433</v>
      </c>
    </row>
    <row r="103" spans="2:16">
      <c r="B103" s="8" t="s">
        <v>631</v>
      </c>
      <c r="C103" s="7"/>
      <c r="G103" s="7"/>
      <c r="I103" s="8"/>
      <c r="L103" s="8"/>
    </row>
    <row r="104" spans="2:16">
      <c r="C104" s="7"/>
      <c r="G104" s="7"/>
      <c r="I104" s="8"/>
      <c r="L104" s="8"/>
      <c r="P104" s="8" t="s">
        <v>52</v>
      </c>
    </row>
    <row r="105" spans="2:16">
      <c r="B105" s="140" t="s">
        <v>576</v>
      </c>
      <c r="C105" s="140" t="s">
        <v>53</v>
      </c>
      <c r="D105" s="141" t="s">
        <v>577</v>
      </c>
      <c r="E105" s="141" t="s">
        <v>578</v>
      </c>
      <c r="F105" s="141" t="s">
        <v>579</v>
      </c>
      <c r="G105" s="141" t="s">
        <v>580</v>
      </c>
      <c r="H105" s="141" t="s">
        <v>581</v>
      </c>
      <c r="I105" s="141" t="s">
        <v>582</v>
      </c>
      <c r="J105" s="141" t="s">
        <v>583</v>
      </c>
      <c r="K105" s="141" t="s">
        <v>584</v>
      </c>
      <c r="L105" s="141" t="s">
        <v>585</v>
      </c>
      <c r="M105" s="141" t="s">
        <v>586</v>
      </c>
      <c r="N105" s="141" t="s">
        <v>587</v>
      </c>
      <c r="O105" s="141" t="s">
        <v>588</v>
      </c>
      <c r="P105" s="141" t="s">
        <v>219</v>
      </c>
    </row>
    <row r="106" spans="2:16">
      <c r="B106" s="142">
        <v>1</v>
      </c>
      <c r="C106" s="143" t="s">
        <v>589</v>
      </c>
      <c r="E106" s="144"/>
      <c r="F106" s="144"/>
      <c r="G106" s="144"/>
      <c r="H106" s="144"/>
      <c r="I106" s="144"/>
      <c r="J106" s="144"/>
      <c r="K106" s="144"/>
      <c r="L106" s="144"/>
      <c r="M106" s="144"/>
      <c r="N106" s="144"/>
      <c r="O106" s="144"/>
      <c r="P106" s="144"/>
    </row>
    <row r="107" spans="2:16">
      <c r="B107" s="145" t="s">
        <v>590</v>
      </c>
      <c r="C107" s="151" t="s">
        <v>591</v>
      </c>
      <c r="D107" s="144">
        <f ca="1">'F12_Excluding POA'!$G$41/12</f>
        <v>66.870915995858823</v>
      </c>
      <c r="E107" s="144">
        <f ca="1">'F12_Excluding POA'!$G$41/12</f>
        <v>66.870915995858823</v>
      </c>
      <c r="F107" s="144">
        <f ca="1">'F12_Excluding POA'!$G$41/12</f>
        <v>66.870915995858823</v>
      </c>
      <c r="G107" s="144">
        <f ca="1">'F12_Excluding POA'!$G$41/12</f>
        <v>66.870915995858823</v>
      </c>
      <c r="H107" s="144">
        <f ca="1">'F12_Excluding POA'!$G$41/12</f>
        <v>66.870915995858823</v>
      </c>
      <c r="I107" s="144">
        <f ca="1">'F12_Excluding POA'!$G$41/12</f>
        <v>66.870915995858823</v>
      </c>
      <c r="J107" s="144">
        <f ca="1">'F12_Excluding POA'!$G$41/12</f>
        <v>66.870915995858823</v>
      </c>
      <c r="K107" s="144">
        <f ca="1">'F12_Excluding POA'!$G$41/12</f>
        <v>66.870915995858823</v>
      </c>
      <c r="L107" s="144">
        <f ca="1">'F12_Excluding POA'!$G$41/12</f>
        <v>66.870915995858823</v>
      </c>
      <c r="M107" s="144">
        <f ca="1">'F12_Excluding POA'!$G$41/12</f>
        <v>66.870915995858823</v>
      </c>
      <c r="N107" s="144">
        <f ca="1">'F12_Excluding POA'!$G$41/12</f>
        <v>66.870915995858823</v>
      </c>
      <c r="O107" s="144">
        <f ca="1">'F12_Excluding POA'!$G$41/12</f>
        <v>66.870915995858823</v>
      </c>
      <c r="P107" s="144">
        <f ca="1">SUM(D107:O107)</f>
        <v>802.45099195030582</v>
      </c>
    </row>
    <row r="108" spans="2:16">
      <c r="B108" s="145" t="s">
        <v>592</v>
      </c>
      <c r="C108" s="151" t="s">
        <v>593</v>
      </c>
      <c r="D108" s="144">
        <f ca="1">'F12_Excluding POA'!$G$42/12</f>
        <v>2.9246944078046049</v>
      </c>
      <c r="E108" s="144">
        <f ca="1">'F12_Excluding POA'!$G$42/12</f>
        <v>2.9246944078046049</v>
      </c>
      <c r="F108" s="144">
        <f ca="1">'F12_Excluding POA'!$G$42/12</f>
        <v>2.9246944078046049</v>
      </c>
      <c r="G108" s="144">
        <f ca="1">'F12_Excluding POA'!$G$42/12</f>
        <v>2.9246944078046049</v>
      </c>
      <c r="H108" s="144">
        <f ca="1">'F12_Excluding POA'!$G$42/12</f>
        <v>2.9246944078046049</v>
      </c>
      <c r="I108" s="144">
        <f ca="1">'F12_Excluding POA'!$G$42/12</f>
        <v>2.9246944078046049</v>
      </c>
      <c r="J108" s="144">
        <f ca="1">'F12_Excluding POA'!$G$42/12</f>
        <v>2.9246944078046049</v>
      </c>
      <c r="K108" s="144">
        <f ca="1">'F12_Excluding POA'!$G$42/12</f>
        <v>2.9246944078046049</v>
      </c>
      <c r="L108" s="144">
        <f ca="1">'F12_Excluding POA'!$G$42/12</f>
        <v>2.9246944078046049</v>
      </c>
      <c r="M108" s="144">
        <f ca="1">'F12_Excluding POA'!$G$42/12</f>
        <v>2.9246944078046049</v>
      </c>
      <c r="N108" s="144">
        <f ca="1">'F12_Excluding POA'!$G$42/12</f>
        <v>2.9246944078046049</v>
      </c>
      <c r="O108" s="144">
        <f ca="1">'F12_Excluding POA'!$G$42/12</f>
        <v>2.9246944078046049</v>
      </c>
      <c r="P108" s="144">
        <f t="shared" ref="P108:P125" ca="1" si="28">SUM(D108:O108)</f>
        <v>35.096332893655259</v>
      </c>
    </row>
    <row r="109" spans="2:16">
      <c r="B109" s="145" t="s">
        <v>594</v>
      </c>
      <c r="C109" s="151" t="s">
        <v>595</v>
      </c>
      <c r="D109" s="144">
        <f ca="1">'F12_Excluding POA'!$G$43/12</f>
        <v>5.0226162825116658</v>
      </c>
      <c r="E109" s="144">
        <f ca="1">'F12_Excluding POA'!$G$43/12</f>
        <v>5.0226162825116658</v>
      </c>
      <c r="F109" s="144">
        <f ca="1">'F12_Excluding POA'!$G$43/12</f>
        <v>5.0226162825116658</v>
      </c>
      <c r="G109" s="144">
        <f ca="1">'F12_Excluding POA'!$G$43/12</f>
        <v>5.0226162825116658</v>
      </c>
      <c r="H109" s="144">
        <f ca="1">'F12_Excluding POA'!$G$43/12</f>
        <v>5.0226162825116658</v>
      </c>
      <c r="I109" s="144">
        <f ca="1">'F12_Excluding POA'!$G$43/12</f>
        <v>5.0226162825116658</v>
      </c>
      <c r="J109" s="144">
        <f ca="1">'F12_Excluding POA'!$G$43/12</f>
        <v>5.0226162825116658</v>
      </c>
      <c r="K109" s="144">
        <f ca="1">'F12_Excluding POA'!$G$43/12</f>
        <v>5.0226162825116658</v>
      </c>
      <c r="L109" s="144">
        <f ca="1">'F12_Excluding POA'!$G$43/12</f>
        <v>5.0226162825116658</v>
      </c>
      <c r="M109" s="144">
        <f ca="1">'F12_Excluding POA'!$G$43/12</f>
        <v>5.0226162825116658</v>
      </c>
      <c r="N109" s="144">
        <f ca="1">'F12_Excluding POA'!$G$43/12</f>
        <v>5.0226162825116658</v>
      </c>
      <c r="O109" s="144">
        <f ca="1">'F12_Excluding POA'!$G$43/12</f>
        <v>5.0226162825116658</v>
      </c>
      <c r="P109" s="144">
        <f t="shared" ca="1" si="28"/>
        <v>60.271395390139979</v>
      </c>
    </row>
    <row r="110" spans="2:16">
      <c r="B110" s="145" t="s">
        <v>596</v>
      </c>
      <c r="C110" s="151" t="s">
        <v>597</v>
      </c>
      <c r="D110" s="144">
        <f ca="1">'F12_Excluding POA'!$G$44/12</f>
        <v>2.1909116674758073</v>
      </c>
      <c r="E110" s="144">
        <f ca="1">'F12_Excluding POA'!$G$44/12</f>
        <v>2.1909116674758073</v>
      </c>
      <c r="F110" s="144">
        <f ca="1">'F12_Excluding POA'!$G$44/12</f>
        <v>2.1909116674758073</v>
      </c>
      <c r="G110" s="144">
        <f ca="1">'F12_Excluding POA'!$G$44/12</f>
        <v>2.1909116674758073</v>
      </c>
      <c r="H110" s="144">
        <f ca="1">'F12_Excluding POA'!$G$44/12</f>
        <v>2.1909116674758073</v>
      </c>
      <c r="I110" s="144">
        <f ca="1">'F12_Excluding POA'!$G$44/12</f>
        <v>2.1909116674758073</v>
      </c>
      <c r="J110" s="144">
        <f ca="1">'F12_Excluding POA'!$G$44/12</f>
        <v>2.1909116674758073</v>
      </c>
      <c r="K110" s="144">
        <f ca="1">'F12_Excluding POA'!$G$44/12</f>
        <v>2.1909116674758073</v>
      </c>
      <c r="L110" s="144">
        <f ca="1">'F12_Excluding POA'!$G$44/12</f>
        <v>2.1909116674758073</v>
      </c>
      <c r="M110" s="144">
        <f ca="1">'F12_Excluding POA'!$G$44/12</f>
        <v>2.1909116674758073</v>
      </c>
      <c r="N110" s="144">
        <f ca="1">'F12_Excluding POA'!$G$44/12</f>
        <v>2.1909116674758073</v>
      </c>
      <c r="O110" s="144">
        <f ca="1">'F12_Excluding POA'!$G$44/12</f>
        <v>2.1909116674758073</v>
      </c>
      <c r="P110" s="144">
        <f t="shared" ca="1" si="28"/>
        <v>26.290940009709683</v>
      </c>
    </row>
    <row r="111" spans="2:16">
      <c r="B111" s="145" t="s">
        <v>598</v>
      </c>
      <c r="C111" s="151" t="s">
        <v>599</v>
      </c>
      <c r="D111" s="144">
        <f ca="1">'F12_Excluding POA'!$G$45/12</f>
        <v>1.5660393898276403</v>
      </c>
      <c r="E111" s="144">
        <f ca="1">'F12_Excluding POA'!$G$45/12</f>
        <v>1.5660393898276403</v>
      </c>
      <c r="F111" s="144">
        <f ca="1">'F12_Excluding POA'!$G$45/12</f>
        <v>1.5660393898276403</v>
      </c>
      <c r="G111" s="144">
        <f ca="1">'F12_Excluding POA'!$G$45/12</f>
        <v>1.5660393898276403</v>
      </c>
      <c r="H111" s="144">
        <f ca="1">'F12_Excluding POA'!$G$45/12</f>
        <v>1.5660393898276403</v>
      </c>
      <c r="I111" s="144">
        <f ca="1">'F12_Excluding POA'!$G$45/12</f>
        <v>1.5660393898276403</v>
      </c>
      <c r="J111" s="144">
        <f ca="1">'F12_Excluding POA'!$G$45/12</f>
        <v>1.5660393898276403</v>
      </c>
      <c r="K111" s="144">
        <f ca="1">'F12_Excluding POA'!$G$45/12</f>
        <v>1.5660393898276403</v>
      </c>
      <c r="L111" s="144">
        <f ca="1">'F12_Excluding POA'!$G$45/12</f>
        <v>1.5660393898276403</v>
      </c>
      <c r="M111" s="144">
        <f ca="1">'F12_Excluding POA'!$G$45/12</f>
        <v>1.5660393898276403</v>
      </c>
      <c r="N111" s="144">
        <f ca="1">'F12_Excluding POA'!$G$45/12</f>
        <v>1.5660393898276403</v>
      </c>
      <c r="O111" s="144">
        <f ca="1">'F12_Excluding POA'!$G$45/12</f>
        <v>1.5660393898276403</v>
      </c>
      <c r="P111" s="144">
        <f t="shared" ca="1" si="28"/>
        <v>18.792472677931684</v>
      </c>
    </row>
    <row r="112" spans="2:16">
      <c r="B112" s="145" t="s">
        <v>600</v>
      </c>
      <c r="C112" s="151" t="s">
        <v>601</v>
      </c>
      <c r="D112" s="144">
        <f ca="1">'F12_Excluding POA'!$G$46/12</f>
        <v>2.6464112935739335E-2</v>
      </c>
      <c r="E112" s="144">
        <f ca="1">'F12_Excluding POA'!$G$46/12</f>
        <v>2.6464112935739335E-2</v>
      </c>
      <c r="F112" s="144">
        <f ca="1">'F12_Excluding POA'!$G$46/12</f>
        <v>2.6464112935739335E-2</v>
      </c>
      <c r="G112" s="144">
        <f ca="1">'F12_Excluding POA'!$G$46/12</f>
        <v>2.6464112935739335E-2</v>
      </c>
      <c r="H112" s="144">
        <f ca="1">'F12_Excluding POA'!$G$46/12</f>
        <v>2.6464112935739335E-2</v>
      </c>
      <c r="I112" s="144">
        <f ca="1">'F12_Excluding POA'!$G$46/12</f>
        <v>2.6464112935739335E-2</v>
      </c>
      <c r="J112" s="144">
        <f ca="1">'F12_Excluding POA'!$G$46/12</f>
        <v>2.6464112935739335E-2</v>
      </c>
      <c r="K112" s="144">
        <f ca="1">'F12_Excluding POA'!$G$46/12</f>
        <v>2.6464112935739335E-2</v>
      </c>
      <c r="L112" s="144">
        <f ca="1">'F12_Excluding POA'!$G$46/12</f>
        <v>2.6464112935739335E-2</v>
      </c>
      <c r="M112" s="144">
        <f ca="1">'F12_Excluding POA'!$G$46/12</f>
        <v>2.6464112935739335E-2</v>
      </c>
      <c r="N112" s="144">
        <f ca="1">'F12_Excluding POA'!$G$46/12</f>
        <v>2.6464112935739335E-2</v>
      </c>
      <c r="O112" s="144">
        <f ca="1">'F12_Excluding POA'!$G$46/12</f>
        <v>2.6464112935739335E-2</v>
      </c>
      <c r="P112" s="144">
        <f t="shared" ca="1" si="28"/>
        <v>0.31756935522887209</v>
      </c>
    </row>
    <row r="113" spans="2:16">
      <c r="B113" s="145" t="s">
        <v>602</v>
      </c>
      <c r="C113" s="151" t="s">
        <v>603</v>
      </c>
      <c r="D113" s="144">
        <f ca="1">'F12_Excluding POA'!$G$47/12</f>
        <v>1.3745380221201087E-2</v>
      </c>
      <c r="E113" s="144">
        <f ca="1">'F12_Excluding POA'!$G$47/12</f>
        <v>1.3745380221201087E-2</v>
      </c>
      <c r="F113" s="144">
        <f ca="1">'F12_Excluding POA'!$G$47/12</f>
        <v>1.3745380221201087E-2</v>
      </c>
      <c r="G113" s="144">
        <f ca="1">'F12_Excluding POA'!$G$47/12</f>
        <v>1.3745380221201087E-2</v>
      </c>
      <c r="H113" s="144">
        <f ca="1">'F12_Excluding POA'!$G$47/12</f>
        <v>1.3745380221201087E-2</v>
      </c>
      <c r="I113" s="144">
        <f ca="1">'F12_Excluding POA'!$G$47/12</f>
        <v>1.3745380221201087E-2</v>
      </c>
      <c r="J113" s="144">
        <f ca="1">'F12_Excluding POA'!$G$47/12</f>
        <v>1.3745380221201087E-2</v>
      </c>
      <c r="K113" s="144">
        <f ca="1">'F12_Excluding POA'!$G$47/12</f>
        <v>1.3745380221201087E-2</v>
      </c>
      <c r="L113" s="144">
        <f ca="1">'F12_Excluding POA'!$G$47/12</f>
        <v>1.3745380221201087E-2</v>
      </c>
      <c r="M113" s="144">
        <f ca="1">'F12_Excluding POA'!$G$47/12</f>
        <v>1.3745380221201087E-2</v>
      </c>
      <c r="N113" s="144">
        <f ca="1">'F12_Excluding POA'!$G$47/12</f>
        <v>1.3745380221201087E-2</v>
      </c>
      <c r="O113" s="144">
        <f ca="1">'F12_Excluding POA'!$G$47/12</f>
        <v>1.3745380221201087E-2</v>
      </c>
      <c r="P113" s="144">
        <f t="shared" ca="1" si="28"/>
        <v>0.16494456265441304</v>
      </c>
    </row>
    <row r="114" spans="2:16">
      <c r="B114" s="145" t="s">
        <v>604</v>
      </c>
      <c r="C114" s="151" t="s">
        <v>605</v>
      </c>
      <c r="D114" s="144">
        <f ca="1">'F12_Excluding POA'!$G$48/12</f>
        <v>1.46806106758244E-2</v>
      </c>
      <c r="E114" s="144">
        <f ca="1">'F12_Excluding POA'!$G$48/12</f>
        <v>1.46806106758244E-2</v>
      </c>
      <c r="F114" s="144">
        <f ca="1">'F12_Excluding POA'!$G$48/12</f>
        <v>1.46806106758244E-2</v>
      </c>
      <c r="G114" s="144">
        <f ca="1">'F12_Excluding POA'!$G$48/12</f>
        <v>1.46806106758244E-2</v>
      </c>
      <c r="H114" s="144">
        <f ca="1">'F12_Excluding POA'!$G$48/12</f>
        <v>1.46806106758244E-2</v>
      </c>
      <c r="I114" s="144">
        <f ca="1">'F12_Excluding POA'!$G$48/12</f>
        <v>1.46806106758244E-2</v>
      </c>
      <c r="J114" s="144">
        <f ca="1">'F12_Excluding POA'!$G$48/12</f>
        <v>1.46806106758244E-2</v>
      </c>
      <c r="K114" s="144">
        <f ca="1">'F12_Excluding POA'!$G$48/12</f>
        <v>1.46806106758244E-2</v>
      </c>
      <c r="L114" s="144">
        <f ca="1">'F12_Excluding POA'!$G$48/12</f>
        <v>1.46806106758244E-2</v>
      </c>
      <c r="M114" s="144">
        <f ca="1">'F12_Excluding POA'!$G$48/12</f>
        <v>1.46806106758244E-2</v>
      </c>
      <c r="N114" s="144">
        <f ca="1">'F12_Excluding POA'!$G$48/12</f>
        <v>1.46806106758244E-2</v>
      </c>
      <c r="O114" s="144">
        <f ca="1">'F12_Excluding POA'!$G$48/12</f>
        <v>1.46806106758244E-2</v>
      </c>
      <c r="P114" s="144">
        <f t="shared" ca="1" si="28"/>
        <v>0.17616732810989286</v>
      </c>
    </row>
    <row r="115" spans="2:16">
      <c r="B115" s="145" t="s">
        <v>606</v>
      </c>
      <c r="C115" s="151" t="s">
        <v>607</v>
      </c>
      <c r="D115" s="144">
        <f ca="1">'F12_Excluding POA'!$G$49/12</f>
        <v>3.4178048457700581E-2</v>
      </c>
      <c r="E115" s="144">
        <f ca="1">'F12_Excluding POA'!$G$49/12</f>
        <v>3.4178048457700581E-2</v>
      </c>
      <c r="F115" s="144">
        <f ca="1">'F12_Excluding POA'!$G$49/12</f>
        <v>3.4178048457700581E-2</v>
      </c>
      <c r="G115" s="144">
        <f ca="1">'F12_Excluding POA'!$G$49/12</f>
        <v>3.4178048457700581E-2</v>
      </c>
      <c r="H115" s="144">
        <f ca="1">'F12_Excluding POA'!$G$49/12</f>
        <v>3.4178048457700581E-2</v>
      </c>
      <c r="I115" s="144">
        <f ca="1">'F12_Excluding POA'!$G$49/12</f>
        <v>3.4178048457700581E-2</v>
      </c>
      <c r="J115" s="144">
        <f ca="1">'F12_Excluding POA'!$G$49/12</f>
        <v>3.4178048457700581E-2</v>
      </c>
      <c r="K115" s="144">
        <f ca="1">'F12_Excluding POA'!$G$49/12</f>
        <v>3.4178048457700581E-2</v>
      </c>
      <c r="L115" s="144">
        <f ca="1">'F12_Excluding POA'!$G$49/12</f>
        <v>3.4178048457700581E-2</v>
      </c>
      <c r="M115" s="144">
        <f ca="1">'F12_Excluding POA'!$G$49/12</f>
        <v>3.4178048457700581E-2</v>
      </c>
      <c r="N115" s="144">
        <f ca="1">'F12_Excluding POA'!$G$49/12</f>
        <v>3.4178048457700581E-2</v>
      </c>
      <c r="O115" s="144">
        <f ca="1">'F12_Excluding POA'!$G$49/12</f>
        <v>3.4178048457700581E-2</v>
      </c>
      <c r="P115" s="144">
        <f t="shared" ca="1" si="28"/>
        <v>0.41013658149240689</v>
      </c>
    </row>
    <row r="116" spans="2:16">
      <c r="B116" s="145" t="s">
        <v>608</v>
      </c>
      <c r="C116" s="151" t="s">
        <v>609</v>
      </c>
      <c r="D116" s="144">
        <f ca="1">'F12_Excluding POA'!$G$50/12</f>
        <v>4.5089783680041962E-2</v>
      </c>
      <c r="E116" s="144">
        <f ca="1">'F12_Excluding POA'!$G$50/12</f>
        <v>4.5089783680041962E-2</v>
      </c>
      <c r="F116" s="144">
        <f ca="1">'F12_Excluding POA'!$G$50/12</f>
        <v>4.5089783680041962E-2</v>
      </c>
      <c r="G116" s="144">
        <f ca="1">'F12_Excluding POA'!$G$50/12</f>
        <v>4.5089783680041962E-2</v>
      </c>
      <c r="H116" s="144">
        <f ca="1">'F12_Excluding POA'!$G$50/12</f>
        <v>4.5089783680041962E-2</v>
      </c>
      <c r="I116" s="144">
        <f ca="1">'F12_Excluding POA'!$G$50/12</f>
        <v>4.5089783680041962E-2</v>
      </c>
      <c r="J116" s="144">
        <f ca="1">'F12_Excluding POA'!$G$50/12</f>
        <v>4.5089783680041962E-2</v>
      </c>
      <c r="K116" s="144">
        <f ca="1">'F12_Excluding POA'!$G$50/12</f>
        <v>4.5089783680041962E-2</v>
      </c>
      <c r="L116" s="144">
        <f ca="1">'F12_Excluding POA'!$G$50/12</f>
        <v>4.5089783680041962E-2</v>
      </c>
      <c r="M116" s="144">
        <f ca="1">'F12_Excluding POA'!$G$50/12</f>
        <v>4.5089783680041962E-2</v>
      </c>
      <c r="N116" s="144">
        <f ca="1">'F12_Excluding POA'!$G$50/12</f>
        <v>4.5089783680041962E-2</v>
      </c>
      <c r="O116" s="144">
        <f ca="1">'F12_Excluding POA'!$G$50/12</f>
        <v>4.5089783680041962E-2</v>
      </c>
      <c r="P116" s="144">
        <f t="shared" ca="1" si="28"/>
        <v>0.54107740416050354</v>
      </c>
    </row>
    <row r="117" spans="2:16">
      <c r="B117" s="145" t="s">
        <v>610</v>
      </c>
      <c r="C117" s="151" t="s">
        <v>611</v>
      </c>
      <c r="D117" s="144">
        <f ca="1">'F12_Excluding POA'!$G$51/12</f>
        <v>2.1337405721191107E-2</v>
      </c>
      <c r="E117" s="144">
        <f ca="1">'F12_Excluding POA'!$G$51/12</f>
        <v>2.1337405721191107E-2</v>
      </c>
      <c r="F117" s="144">
        <f ca="1">'F12_Excluding POA'!$G$51/12</f>
        <v>2.1337405721191107E-2</v>
      </c>
      <c r="G117" s="144">
        <f ca="1">'F12_Excluding POA'!$G$51/12</f>
        <v>2.1337405721191107E-2</v>
      </c>
      <c r="H117" s="144">
        <f ca="1">'F12_Excluding POA'!$G$51/12</f>
        <v>2.1337405721191107E-2</v>
      </c>
      <c r="I117" s="144">
        <f ca="1">'F12_Excluding POA'!$G$51/12</f>
        <v>2.1337405721191107E-2</v>
      </c>
      <c r="J117" s="144">
        <f ca="1">'F12_Excluding POA'!$G$51/12</f>
        <v>2.1337405721191107E-2</v>
      </c>
      <c r="K117" s="144">
        <f ca="1">'F12_Excluding POA'!$G$51/12</f>
        <v>2.1337405721191107E-2</v>
      </c>
      <c r="L117" s="144">
        <f ca="1">'F12_Excluding POA'!$G$51/12</f>
        <v>2.1337405721191107E-2</v>
      </c>
      <c r="M117" s="144">
        <f ca="1">'F12_Excluding POA'!$G$51/12</f>
        <v>2.1337405721191107E-2</v>
      </c>
      <c r="N117" s="144">
        <f ca="1">'F12_Excluding POA'!$G$51/12</f>
        <v>2.1337405721191107E-2</v>
      </c>
      <c r="O117" s="144">
        <f ca="1">'F12_Excluding POA'!$G$51/12</f>
        <v>2.1337405721191107E-2</v>
      </c>
      <c r="P117" s="144">
        <f t="shared" ca="1" si="28"/>
        <v>0.25604886865429327</v>
      </c>
    </row>
    <row r="118" spans="2:16">
      <c r="B118" s="145" t="s">
        <v>612</v>
      </c>
      <c r="C118" s="151" t="s">
        <v>613</v>
      </c>
      <c r="D118" s="144">
        <f ca="1">'F12_Excluding POA'!$G$52/12</f>
        <v>1.4312215605271524E-2</v>
      </c>
      <c r="E118" s="144">
        <f ca="1">'F12_Excluding POA'!$G$52/12</f>
        <v>1.4312215605271524E-2</v>
      </c>
      <c r="F118" s="144">
        <f ca="1">'F12_Excluding POA'!$G$52/12</f>
        <v>1.4312215605271524E-2</v>
      </c>
      <c r="G118" s="144">
        <f ca="1">'F12_Excluding POA'!$G$52/12</f>
        <v>1.4312215605271524E-2</v>
      </c>
      <c r="H118" s="144">
        <f ca="1">'F12_Excluding POA'!$G$52/12</f>
        <v>1.4312215605271524E-2</v>
      </c>
      <c r="I118" s="144">
        <f ca="1">'F12_Excluding POA'!$G$52/12</f>
        <v>1.4312215605271524E-2</v>
      </c>
      <c r="J118" s="144">
        <f ca="1">'F12_Excluding POA'!$G$52/12</f>
        <v>1.4312215605271524E-2</v>
      </c>
      <c r="K118" s="144">
        <f ca="1">'F12_Excluding POA'!$G$52/12</f>
        <v>1.4312215605271524E-2</v>
      </c>
      <c r="L118" s="144">
        <f ca="1">'F12_Excluding POA'!$G$52/12</f>
        <v>1.4312215605271524E-2</v>
      </c>
      <c r="M118" s="144">
        <f ca="1">'F12_Excluding POA'!$G$52/12</f>
        <v>1.4312215605271524E-2</v>
      </c>
      <c r="N118" s="144">
        <f ca="1">'F12_Excluding POA'!$G$52/12</f>
        <v>1.4312215605271524E-2</v>
      </c>
      <c r="O118" s="144">
        <f ca="1">'F12_Excluding POA'!$G$52/12</f>
        <v>1.4312215605271524E-2</v>
      </c>
      <c r="P118" s="144">
        <f t="shared" ca="1" si="28"/>
        <v>0.17174658726325823</v>
      </c>
    </row>
    <row r="119" spans="2:16">
      <c r="B119" s="145" t="s">
        <v>614</v>
      </c>
      <c r="C119" s="151" t="s">
        <v>615</v>
      </c>
      <c r="D119" s="144">
        <f ca="1">'F12_Excluding POA'!$G$53/12</f>
        <v>5.6210995542584586E-3</v>
      </c>
      <c r="E119" s="144">
        <f ca="1">'F12_Excluding POA'!$G$53/12</f>
        <v>5.6210995542584586E-3</v>
      </c>
      <c r="F119" s="144">
        <f ca="1">'F12_Excluding POA'!$G$53/12</f>
        <v>5.6210995542584586E-3</v>
      </c>
      <c r="G119" s="144">
        <f ca="1">'F12_Excluding POA'!$G$53/12</f>
        <v>5.6210995542584586E-3</v>
      </c>
      <c r="H119" s="144">
        <f ca="1">'F12_Excluding POA'!$G$53/12</f>
        <v>5.6210995542584586E-3</v>
      </c>
      <c r="I119" s="144">
        <f ca="1">'F12_Excluding POA'!$G$53/12</f>
        <v>5.6210995542584586E-3</v>
      </c>
      <c r="J119" s="144">
        <f ca="1">'F12_Excluding POA'!$G$53/12</f>
        <v>5.6210995542584586E-3</v>
      </c>
      <c r="K119" s="144">
        <f ca="1">'F12_Excluding POA'!$G$53/12</f>
        <v>5.6210995542584586E-3</v>
      </c>
      <c r="L119" s="144">
        <f ca="1">'F12_Excluding POA'!$G$53/12</f>
        <v>5.6210995542584586E-3</v>
      </c>
      <c r="M119" s="144">
        <f ca="1">'F12_Excluding POA'!$G$53/12</f>
        <v>5.6210995542584586E-3</v>
      </c>
      <c r="N119" s="144">
        <f ca="1">'F12_Excluding POA'!$G$53/12</f>
        <v>5.6210995542584586E-3</v>
      </c>
      <c r="O119" s="144">
        <f ca="1">'F12_Excluding POA'!$G$53/12</f>
        <v>5.6210995542584586E-3</v>
      </c>
      <c r="P119" s="144">
        <f t="shared" ca="1" si="28"/>
        <v>6.7453194651101486E-2</v>
      </c>
    </row>
    <row r="120" spans="2:16">
      <c r="B120" s="145" t="s">
        <v>616</v>
      </c>
      <c r="C120" s="151" t="s">
        <v>617</v>
      </c>
      <c r="D120" s="144">
        <f ca="1">'F12_Excluding POA'!$G$54/12</f>
        <v>1.6861744686792364E-3</v>
      </c>
      <c r="E120" s="144">
        <f ca="1">'F12_Excluding POA'!$G$54/12</f>
        <v>1.6861744686792364E-3</v>
      </c>
      <c r="F120" s="144">
        <f ca="1">'F12_Excluding POA'!$G$54/12</f>
        <v>1.6861744686792364E-3</v>
      </c>
      <c r="G120" s="144">
        <f ca="1">'F12_Excluding POA'!$G$54/12</f>
        <v>1.6861744686792364E-3</v>
      </c>
      <c r="H120" s="144">
        <f ca="1">'F12_Excluding POA'!$G$54/12</f>
        <v>1.6861744686792364E-3</v>
      </c>
      <c r="I120" s="144">
        <f ca="1">'F12_Excluding POA'!$G$54/12</f>
        <v>1.6861744686792364E-3</v>
      </c>
      <c r="J120" s="144">
        <f ca="1">'F12_Excluding POA'!$G$54/12</f>
        <v>1.6861744686792364E-3</v>
      </c>
      <c r="K120" s="144">
        <f ca="1">'F12_Excluding POA'!$G$54/12</f>
        <v>1.6861744686792364E-3</v>
      </c>
      <c r="L120" s="144">
        <f ca="1">'F12_Excluding POA'!$G$54/12</f>
        <v>1.6861744686792364E-3</v>
      </c>
      <c r="M120" s="144">
        <f ca="1">'F12_Excluding POA'!$G$54/12</f>
        <v>1.6861744686792364E-3</v>
      </c>
      <c r="N120" s="144">
        <f ca="1">'F12_Excluding POA'!$G$54/12</f>
        <v>1.6861744686792364E-3</v>
      </c>
      <c r="O120" s="144">
        <f ca="1">'F12_Excluding POA'!$G$54/12</f>
        <v>1.6861744686792364E-3</v>
      </c>
      <c r="P120" s="144">
        <f t="shared" ca="1" si="28"/>
        <v>2.0234093624150837E-2</v>
      </c>
    </row>
    <row r="121" spans="2:16">
      <c r="B121" s="145" t="s">
        <v>618</v>
      </c>
      <c r="C121" s="151" t="s">
        <v>619</v>
      </c>
      <c r="D121" s="144">
        <f ca="1">'F12_Excluding POA'!$G$55/12</f>
        <v>8.3169932008755526E-2</v>
      </c>
      <c r="E121" s="144">
        <f ca="1">'F12_Excluding POA'!$G$55/12</f>
        <v>8.3169932008755526E-2</v>
      </c>
      <c r="F121" s="144">
        <f ca="1">'F12_Excluding POA'!$G$55/12</f>
        <v>8.3169932008755526E-2</v>
      </c>
      <c r="G121" s="144">
        <f ca="1">'F12_Excluding POA'!$G$55/12</f>
        <v>8.3169932008755526E-2</v>
      </c>
      <c r="H121" s="144">
        <f ca="1">'F12_Excluding POA'!$G$55/12</f>
        <v>8.3169932008755526E-2</v>
      </c>
      <c r="I121" s="144">
        <f ca="1">'F12_Excluding POA'!$G$55/12</f>
        <v>8.3169932008755526E-2</v>
      </c>
      <c r="J121" s="144">
        <f ca="1">'F12_Excluding POA'!$G$55/12</f>
        <v>8.3169932008755526E-2</v>
      </c>
      <c r="K121" s="144">
        <f ca="1">'F12_Excluding POA'!$G$55/12</f>
        <v>8.3169932008755526E-2</v>
      </c>
      <c r="L121" s="144">
        <f ca="1">'F12_Excluding POA'!$G$55/12</f>
        <v>8.3169932008755526E-2</v>
      </c>
      <c r="M121" s="144">
        <f ca="1">'F12_Excluding POA'!$G$55/12</f>
        <v>8.3169932008755526E-2</v>
      </c>
      <c r="N121" s="144">
        <f ca="1">'F12_Excluding POA'!$G$55/12</f>
        <v>8.3169932008755526E-2</v>
      </c>
      <c r="O121" s="144">
        <f ca="1">'F12_Excluding POA'!$G$55/12</f>
        <v>8.3169932008755526E-2</v>
      </c>
      <c r="P121" s="144">
        <f t="shared" ca="1" si="28"/>
        <v>0.99803918410506653</v>
      </c>
    </row>
    <row r="122" spans="2:16">
      <c r="B122" s="145" t="s">
        <v>666</v>
      </c>
      <c r="C122" s="151" t="s">
        <v>620</v>
      </c>
      <c r="D122" s="144">
        <f ca="1">'F12_Excluding POA'!$G$56/12</f>
        <v>3.9933615363733389E-2</v>
      </c>
      <c r="E122" s="144">
        <f ca="1">'F12_Excluding POA'!$G$56/12</f>
        <v>3.9933615363733389E-2</v>
      </c>
      <c r="F122" s="144">
        <f ca="1">'F12_Excluding POA'!$G$56/12</f>
        <v>3.9933615363733389E-2</v>
      </c>
      <c r="G122" s="144">
        <f ca="1">'F12_Excluding POA'!$G$56/12</f>
        <v>3.9933615363733389E-2</v>
      </c>
      <c r="H122" s="144">
        <f ca="1">'F12_Excluding POA'!$G$56/12</f>
        <v>3.9933615363733389E-2</v>
      </c>
      <c r="I122" s="144">
        <f ca="1">'F12_Excluding POA'!$G$56/12</f>
        <v>3.9933615363733389E-2</v>
      </c>
      <c r="J122" s="144">
        <f ca="1">'F12_Excluding POA'!$G$56/12</f>
        <v>3.9933615363733389E-2</v>
      </c>
      <c r="K122" s="144">
        <f ca="1">'F12_Excluding POA'!$G$56/12</f>
        <v>3.9933615363733389E-2</v>
      </c>
      <c r="L122" s="144">
        <f ca="1">'F12_Excluding POA'!$G$56/12</f>
        <v>3.9933615363733389E-2</v>
      </c>
      <c r="M122" s="144">
        <f ca="1">'F12_Excluding POA'!$G$56/12</f>
        <v>3.9933615363733389E-2</v>
      </c>
      <c r="N122" s="144">
        <f ca="1">'F12_Excluding POA'!$G$56/12</f>
        <v>3.9933615363733389E-2</v>
      </c>
      <c r="O122" s="144">
        <f ca="1">'F12_Excluding POA'!$G$56/12</f>
        <v>3.9933615363733389E-2</v>
      </c>
      <c r="P122" s="144">
        <f t="shared" ca="1" si="28"/>
        <v>0.47920338436480076</v>
      </c>
    </row>
    <row r="123" spans="2:16">
      <c r="B123" s="145" t="s">
        <v>667</v>
      </c>
      <c r="C123" s="151" t="s">
        <v>621</v>
      </c>
      <c r="D123" s="144">
        <f ca="1">'F12_Excluding POA'!$G$57/12</f>
        <v>2.7963717366784158E-2</v>
      </c>
      <c r="E123" s="144">
        <f ca="1">'F12_Excluding POA'!$G$57/12</f>
        <v>2.7963717366784158E-2</v>
      </c>
      <c r="F123" s="144">
        <f ca="1">'F12_Excluding POA'!$G$57/12</f>
        <v>2.7963717366784158E-2</v>
      </c>
      <c r="G123" s="144">
        <f ca="1">'F12_Excluding POA'!$G$57/12</f>
        <v>2.7963717366784158E-2</v>
      </c>
      <c r="H123" s="144">
        <f ca="1">'F12_Excluding POA'!$G$57/12</f>
        <v>2.7963717366784158E-2</v>
      </c>
      <c r="I123" s="144">
        <f ca="1">'F12_Excluding POA'!$G$57/12</f>
        <v>2.7963717366784158E-2</v>
      </c>
      <c r="J123" s="144">
        <f ca="1">'F12_Excluding POA'!$G$57/12</f>
        <v>2.7963717366784158E-2</v>
      </c>
      <c r="K123" s="144">
        <f ca="1">'F12_Excluding POA'!$G$57/12</f>
        <v>2.7963717366784158E-2</v>
      </c>
      <c r="L123" s="144">
        <f ca="1">'F12_Excluding POA'!$G$57/12</f>
        <v>2.7963717366784158E-2</v>
      </c>
      <c r="M123" s="144">
        <f ca="1">'F12_Excluding POA'!$G$57/12</f>
        <v>2.7963717366784158E-2</v>
      </c>
      <c r="N123" s="144">
        <f ca="1">'F12_Excluding POA'!$G$57/12</f>
        <v>2.7963717366784158E-2</v>
      </c>
      <c r="O123" s="144">
        <f ca="1">'F12_Excluding POA'!$G$57/12</f>
        <v>2.7963717366784158E-2</v>
      </c>
      <c r="P123" s="144">
        <f t="shared" ca="1" si="28"/>
        <v>0.33556460840140989</v>
      </c>
    </row>
    <row r="124" spans="2:16">
      <c r="B124" s="145" t="s">
        <v>668</v>
      </c>
      <c r="C124" s="151" t="s">
        <v>622</v>
      </c>
      <c r="D124" s="144">
        <f ca="1">'F12_Excluding POA'!$G$58/12</f>
        <v>5.2654345271676284E-2</v>
      </c>
      <c r="E124" s="144">
        <f ca="1">'F12_Excluding POA'!$G$58/12</f>
        <v>5.2654345271676284E-2</v>
      </c>
      <c r="F124" s="144">
        <f ca="1">'F12_Excluding POA'!$G$58/12</f>
        <v>5.2654345271676284E-2</v>
      </c>
      <c r="G124" s="144">
        <f ca="1">'F12_Excluding POA'!$G$58/12</f>
        <v>5.2654345271676284E-2</v>
      </c>
      <c r="H124" s="144">
        <f ca="1">'F12_Excluding POA'!$G$58/12</f>
        <v>5.2654345271676284E-2</v>
      </c>
      <c r="I124" s="144">
        <f ca="1">'F12_Excluding POA'!$G$58/12</f>
        <v>5.2654345271676284E-2</v>
      </c>
      <c r="J124" s="144">
        <f ca="1">'F12_Excluding POA'!$G$58/12</f>
        <v>5.2654345271676284E-2</v>
      </c>
      <c r="K124" s="144">
        <f ca="1">'F12_Excluding POA'!$G$58/12</f>
        <v>5.2654345271676284E-2</v>
      </c>
      <c r="L124" s="144">
        <f ca="1">'F12_Excluding POA'!$G$58/12</f>
        <v>5.2654345271676284E-2</v>
      </c>
      <c r="M124" s="144">
        <f ca="1">'F12_Excluding POA'!$G$58/12</f>
        <v>5.2654345271676284E-2</v>
      </c>
      <c r="N124" s="144">
        <f ca="1">'F12_Excluding POA'!$G$58/12</f>
        <v>5.2654345271676284E-2</v>
      </c>
      <c r="O124" s="144">
        <f ca="1">'F12_Excluding POA'!$G$58/12</f>
        <v>5.2654345271676284E-2</v>
      </c>
      <c r="P124" s="144">
        <f t="shared" ca="1" si="28"/>
        <v>0.63185214326011541</v>
      </c>
    </row>
    <row r="125" spans="2:16">
      <c r="B125" s="145"/>
      <c r="C125" s="146"/>
      <c r="D125" s="144">
        <f ca="1">'F12_Excluding POA'!$G$59/12</f>
        <v>5.2654345271676284E-2</v>
      </c>
      <c r="E125" s="144">
        <f ca="1">'F12_Excluding POA'!$G$59/12</f>
        <v>5.2654345271676284E-2</v>
      </c>
      <c r="F125" s="144">
        <f ca="1">'F12_Excluding POA'!$G$59/12</f>
        <v>5.2654345271676284E-2</v>
      </c>
      <c r="G125" s="144">
        <f ca="1">'F12_Excluding POA'!$G$59/12</f>
        <v>5.2654345271676284E-2</v>
      </c>
      <c r="H125" s="144">
        <f ca="1">'F12_Excluding POA'!$G$59/12</f>
        <v>5.2654345271676284E-2</v>
      </c>
      <c r="I125" s="144">
        <f ca="1">'F12_Excluding POA'!$G$59/12</f>
        <v>5.2654345271676284E-2</v>
      </c>
      <c r="J125" s="144">
        <f ca="1">'F12_Excluding POA'!$G$59/12</f>
        <v>5.2654345271676284E-2</v>
      </c>
      <c r="K125" s="144">
        <f ca="1">'F12_Excluding POA'!$G$59/12</f>
        <v>5.2654345271676284E-2</v>
      </c>
      <c r="L125" s="144">
        <f ca="1">'F12_Excluding POA'!$G$59/12</f>
        <v>5.2654345271676284E-2</v>
      </c>
      <c r="M125" s="144">
        <f ca="1">'F12_Excluding POA'!$G$59/12</f>
        <v>5.2654345271676284E-2</v>
      </c>
      <c r="N125" s="144">
        <f ca="1">'F12_Excluding POA'!$G$59/12</f>
        <v>5.2654345271676284E-2</v>
      </c>
      <c r="O125" s="144">
        <f ca="1">'F12_Excluding POA'!$G$59/12</f>
        <v>5.2654345271676284E-2</v>
      </c>
      <c r="P125" s="144">
        <f t="shared" ca="1" si="28"/>
        <v>0.63185214326011541</v>
      </c>
    </row>
    <row r="126" spans="2:16">
      <c r="B126" s="142">
        <v>2</v>
      </c>
      <c r="C126" s="143" t="s">
        <v>623</v>
      </c>
      <c r="D126" s="144"/>
      <c r="E126" s="144"/>
      <c r="F126" s="144"/>
      <c r="G126" s="144"/>
      <c r="H126" s="144"/>
      <c r="I126" s="144"/>
      <c r="J126" s="144"/>
      <c r="K126" s="144"/>
      <c r="L126" s="144"/>
      <c r="M126" s="144"/>
      <c r="N126" s="144"/>
      <c r="O126" s="144"/>
      <c r="P126" s="144"/>
    </row>
    <row r="127" spans="2:16">
      <c r="B127" s="145"/>
      <c r="C127" s="146"/>
      <c r="D127" s="144"/>
      <c r="E127" s="144"/>
      <c r="F127" s="144"/>
      <c r="G127" s="144"/>
      <c r="H127" s="144"/>
      <c r="I127" s="144"/>
      <c r="J127" s="144"/>
      <c r="K127" s="144"/>
      <c r="L127" s="144"/>
      <c r="M127" s="144"/>
      <c r="N127" s="144"/>
      <c r="O127" s="144"/>
      <c r="P127" s="144"/>
    </row>
    <row r="128" spans="2:16">
      <c r="B128" s="145"/>
      <c r="C128" s="146"/>
      <c r="D128" s="144"/>
      <c r="E128" s="144"/>
      <c r="F128" s="144"/>
      <c r="G128" s="144"/>
      <c r="H128" s="144"/>
      <c r="I128" s="144"/>
      <c r="J128" s="144"/>
      <c r="K128" s="144"/>
      <c r="L128" s="144"/>
      <c r="M128" s="144"/>
      <c r="N128" s="144"/>
      <c r="O128" s="144"/>
      <c r="P128" s="144"/>
    </row>
    <row r="129" spans="2:16">
      <c r="B129" s="142"/>
      <c r="C129" s="146" t="s">
        <v>629</v>
      </c>
      <c r="D129" s="144"/>
      <c r="E129" s="144"/>
      <c r="F129" s="144"/>
      <c r="G129" s="144"/>
      <c r="H129" s="144"/>
      <c r="I129" s="144"/>
      <c r="J129" s="144"/>
      <c r="K129" s="144"/>
      <c r="L129" s="144"/>
      <c r="M129" s="144"/>
      <c r="N129" s="144"/>
      <c r="O129" s="144"/>
      <c r="P129" s="144"/>
    </row>
    <row r="130" spans="2:16">
      <c r="B130" s="142">
        <v>3</v>
      </c>
      <c r="C130" s="143" t="s">
        <v>624</v>
      </c>
      <c r="D130" s="144">
        <v>0</v>
      </c>
      <c r="E130" s="144">
        <v>0</v>
      </c>
      <c r="F130" s="144">
        <v>0</v>
      </c>
      <c r="G130" s="144">
        <v>0</v>
      </c>
      <c r="H130" s="144">
        <v>0</v>
      </c>
      <c r="I130" s="144">
        <v>0</v>
      </c>
      <c r="J130" s="144">
        <v>0</v>
      </c>
      <c r="K130" s="144">
        <v>0</v>
      </c>
      <c r="L130" s="144">
        <v>0</v>
      </c>
      <c r="M130" s="144">
        <v>0</v>
      </c>
      <c r="N130" s="144">
        <v>0</v>
      </c>
      <c r="O130" s="144">
        <v>0</v>
      </c>
      <c r="P130" s="144">
        <v>0</v>
      </c>
    </row>
    <row r="131" spans="2:16">
      <c r="B131" s="142"/>
      <c r="C131" s="143" t="s">
        <v>348</v>
      </c>
      <c r="D131" s="144"/>
      <c r="E131" s="144"/>
      <c r="F131" s="144"/>
      <c r="G131" s="144"/>
      <c r="H131" s="144"/>
      <c r="I131" s="144"/>
      <c r="J131" s="144"/>
      <c r="K131" s="144"/>
      <c r="L131" s="144"/>
      <c r="M131" s="144"/>
      <c r="N131" s="144"/>
      <c r="O131" s="144"/>
      <c r="P131" s="144"/>
    </row>
    <row r="132" spans="2:16">
      <c r="B132" s="147">
        <v>4</v>
      </c>
      <c r="C132" s="148" t="s">
        <v>625</v>
      </c>
      <c r="D132" s="324">
        <f t="shared" ref="D132:P132" ca="1" si="29">SUM(D107:D131)</f>
        <v>79.008668530081081</v>
      </c>
      <c r="E132" s="324">
        <f t="shared" ca="1" si="29"/>
        <v>79.008668530081081</v>
      </c>
      <c r="F132" s="324">
        <f t="shared" ca="1" si="29"/>
        <v>79.008668530081081</v>
      </c>
      <c r="G132" s="324">
        <f t="shared" ca="1" si="29"/>
        <v>79.008668530081081</v>
      </c>
      <c r="H132" s="324">
        <f t="shared" ca="1" si="29"/>
        <v>79.008668530081081</v>
      </c>
      <c r="I132" s="324">
        <f t="shared" ca="1" si="29"/>
        <v>79.008668530081081</v>
      </c>
      <c r="J132" s="324">
        <f t="shared" ca="1" si="29"/>
        <v>79.008668530081081</v>
      </c>
      <c r="K132" s="324">
        <f t="shared" ca="1" si="29"/>
        <v>79.008668530081081</v>
      </c>
      <c r="L132" s="324">
        <f t="shared" ca="1" si="29"/>
        <v>79.008668530081081</v>
      </c>
      <c r="M132" s="324">
        <f t="shared" ca="1" si="29"/>
        <v>79.008668530081081</v>
      </c>
      <c r="N132" s="324">
        <f t="shared" ca="1" si="29"/>
        <v>79.008668530081081</v>
      </c>
      <c r="O132" s="324">
        <f t="shared" ca="1" si="29"/>
        <v>79.008668530081081</v>
      </c>
      <c r="P132" s="324">
        <f t="shared" ca="1" si="29"/>
        <v>948.10402236097275</v>
      </c>
    </row>
    <row r="135" spans="2:16">
      <c r="B135" s="8" t="s">
        <v>632</v>
      </c>
      <c r="C135" s="7"/>
      <c r="G135" s="7"/>
      <c r="I135" s="8"/>
      <c r="L135" s="8"/>
    </row>
    <row r="136" spans="2:16">
      <c r="C136" s="7"/>
      <c r="G136" s="7"/>
      <c r="I136" s="8"/>
      <c r="L136" s="8"/>
      <c r="P136" s="8" t="s">
        <v>52</v>
      </c>
    </row>
    <row r="137" spans="2:16">
      <c r="B137" s="140" t="s">
        <v>576</v>
      </c>
      <c r="C137" s="140" t="s">
        <v>53</v>
      </c>
      <c r="D137" s="141" t="s">
        <v>577</v>
      </c>
      <c r="E137" s="141" t="s">
        <v>578</v>
      </c>
      <c r="F137" s="141" t="s">
        <v>579</v>
      </c>
      <c r="G137" s="141" t="s">
        <v>580</v>
      </c>
      <c r="H137" s="141" t="s">
        <v>581</v>
      </c>
      <c r="I137" s="141" t="s">
        <v>582</v>
      </c>
      <c r="J137" s="141" t="s">
        <v>583</v>
      </c>
      <c r="K137" s="141" t="s">
        <v>584</v>
      </c>
      <c r="L137" s="141" t="s">
        <v>585</v>
      </c>
      <c r="M137" s="141" t="s">
        <v>586</v>
      </c>
      <c r="N137" s="141" t="s">
        <v>587</v>
      </c>
      <c r="O137" s="141" t="s">
        <v>588</v>
      </c>
      <c r="P137" s="141" t="s">
        <v>219</v>
      </c>
    </row>
    <row r="138" spans="2:16">
      <c r="B138" s="142">
        <v>1</v>
      </c>
      <c r="C138" s="143" t="s">
        <v>589</v>
      </c>
      <c r="E138" s="144"/>
      <c r="F138" s="144"/>
      <c r="G138" s="144"/>
      <c r="H138" s="144"/>
      <c r="I138" s="144"/>
      <c r="J138" s="144"/>
      <c r="K138" s="144"/>
      <c r="L138" s="144"/>
      <c r="M138" s="144"/>
      <c r="N138" s="144"/>
      <c r="O138" s="144"/>
      <c r="P138" s="144"/>
    </row>
    <row r="139" spans="2:16">
      <c r="B139" s="145" t="s">
        <v>590</v>
      </c>
      <c r="C139" s="151" t="s">
        <v>591</v>
      </c>
      <c r="D139" s="144">
        <f ca="1">'F12_Excluding POA'!$H$41/12</f>
        <v>66.893614169518301</v>
      </c>
      <c r="E139" s="144">
        <f ca="1">'F12_Excluding POA'!$H$41/12</f>
        <v>66.893614169518301</v>
      </c>
      <c r="F139" s="144">
        <f ca="1">'F12_Excluding POA'!$H$41/12</f>
        <v>66.893614169518301</v>
      </c>
      <c r="G139" s="144">
        <f ca="1">'F12_Excluding POA'!$H$41/12</f>
        <v>66.893614169518301</v>
      </c>
      <c r="H139" s="144">
        <f ca="1">'F12_Excluding POA'!$H$41/12</f>
        <v>66.893614169518301</v>
      </c>
      <c r="I139" s="144">
        <f ca="1">'F12_Excluding POA'!$H$41/12</f>
        <v>66.893614169518301</v>
      </c>
      <c r="J139" s="144">
        <f ca="1">'F12_Excluding POA'!$H$41/12</f>
        <v>66.893614169518301</v>
      </c>
      <c r="K139" s="144">
        <f ca="1">'F12_Excluding POA'!$H$41/12</f>
        <v>66.893614169518301</v>
      </c>
      <c r="L139" s="144">
        <f ca="1">'F12_Excluding POA'!$H$41/12</f>
        <v>66.893614169518301</v>
      </c>
      <c r="M139" s="144">
        <f ca="1">'F12_Excluding POA'!$H$41/12</f>
        <v>66.893614169518301</v>
      </c>
      <c r="N139" s="144">
        <f ca="1">'F12_Excluding POA'!$H$41/12</f>
        <v>66.893614169518301</v>
      </c>
      <c r="O139" s="144">
        <f ca="1">'F12_Excluding POA'!$H$41/12</f>
        <v>66.893614169518301</v>
      </c>
      <c r="P139" s="144">
        <f ca="1">SUM(D139:O139)</f>
        <v>802.72337003421956</v>
      </c>
    </row>
    <row r="140" spans="2:16">
      <c r="B140" s="145" t="s">
        <v>592</v>
      </c>
      <c r="C140" s="151" t="s">
        <v>593</v>
      </c>
      <c r="D140" s="144">
        <f ca="1">'F12_Excluding POA'!$H$42/12</f>
        <v>2.972011648071105</v>
      </c>
      <c r="E140" s="144">
        <f ca="1">'F12_Excluding POA'!$H$42/12</f>
        <v>2.972011648071105</v>
      </c>
      <c r="F140" s="144">
        <f ca="1">'F12_Excluding POA'!$H$42/12</f>
        <v>2.972011648071105</v>
      </c>
      <c r="G140" s="144">
        <f ca="1">'F12_Excluding POA'!$H$42/12</f>
        <v>2.972011648071105</v>
      </c>
      <c r="H140" s="144">
        <f ca="1">'F12_Excluding POA'!$H$42/12</f>
        <v>2.972011648071105</v>
      </c>
      <c r="I140" s="144">
        <f ca="1">'F12_Excluding POA'!$H$42/12</f>
        <v>2.972011648071105</v>
      </c>
      <c r="J140" s="144">
        <f ca="1">'F12_Excluding POA'!$H$42/12</f>
        <v>2.972011648071105</v>
      </c>
      <c r="K140" s="144">
        <f ca="1">'F12_Excluding POA'!$H$42/12</f>
        <v>2.972011648071105</v>
      </c>
      <c r="L140" s="144">
        <f ca="1">'F12_Excluding POA'!$H$42/12</f>
        <v>2.972011648071105</v>
      </c>
      <c r="M140" s="144">
        <f ca="1">'F12_Excluding POA'!$H$42/12</f>
        <v>2.972011648071105</v>
      </c>
      <c r="N140" s="144">
        <f ca="1">'F12_Excluding POA'!$H$42/12</f>
        <v>2.972011648071105</v>
      </c>
      <c r="O140" s="144">
        <f ca="1">'F12_Excluding POA'!$H$42/12</f>
        <v>2.972011648071105</v>
      </c>
      <c r="P140" s="144">
        <f t="shared" ref="P140:P157" ca="1" si="30">SUM(D140:O140)</f>
        <v>35.664139776853261</v>
      </c>
    </row>
    <row r="141" spans="2:16">
      <c r="B141" s="145" t="s">
        <v>594</v>
      </c>
      <c r="C141" s="151" t="s">
        <v>595</v>
      </c>
      <c r="D141" s="144">
        <f ca="1">'F12_Excluding POA'!$H$43/12</f>
        <v>5.0074716921823441</v>
      </c>
      <c r="E141" s="144">
        <f ca="1">'F12_Excluding POA'!$H$43/12</f>
        <v>5.0074716921823441</v>
      </c>
      <c r="F141" s="144">
        <f ca="1">'F12_Excluding POA'!$H$43/12</f>
        <v>5.0074716921823441</v>
      </c>
      <c r="G141" s="144">
        <f ca="1">'F12_Excluding POA'!$H$43/12</f>
        <v>5.0074716921823441</v>
      </c>
      <c r="H141" s="144">
        <f ca="1">'F12_Excluding POA'!$H$43/12</f>
        <v>5.0074716921823441</v>
      </c>
      <c r="I141" s="144">
        <f ca="1">'F12_Excluding POA'!$H$43/12</f>
        <v>5.0074716921823441</v>
      </c>
      <c r="J141" s="144">
        <f ca="1">'F12_Excluding POA'!$H$43/12</f>
        <v>5.0074716921823441</v>
      </c>
      <c r="K141" s="144">
        <f ca="1">'F12_Excluding POA'!$H$43/12</f>
        <v>5.0074716921823441</v>
      </c>
      <c r="L141" s="144">
        <f ca="1">'F12_Excluding POA'!$H$43/12</f>
        <v>5.0074716921823441</v>
      </c>
      <c r="M141" s="144">
        <f ca="1">'F12_Excluding POA'!$H$43/12</f>
        <v>5.0074716921823441</v>
      </c>
      <c r="N141" s="144">
        <f ca="1">'F12_Excluding POA'!$H$43/12</f>
        <v>5.0074716921823441</v>
      </c>
      <c r="O141" s="144">
        <f ca="1">'F12_Excluding POA'!$H$43/12</f>
        <v>5.0074716921823441</v>
      </c>
      <c r="P141" s="144">
        <f t="shared" ca="1" si="30"/>
        <v>60.089660306188115</v>
      </c>
    </row>
    <row r="142" spans="2:16">
      <c r="B142" s="145" t="s">
        <v>596</v>
      </c>
      <c r="C142" s="151" t="s">
        <v>597</v>
      </c>
      <c r="D142" s="144">
        <f ca="1">'F12_Excluding POA'!$H$44/12</f>
        <v>2.1004966048120415</v>
      </c>
      <c r="E142" s="144">
        <f ca="1">'F12_Excluding POA'!$H$44/12</f>
        <v>2.1004966048120415</v>
      </c>
      <c r="F142" s="144">
        <f ca="1">'F12_Excluding POA'!$H$44/12</f>
        <v>2.1004966048120415</v>
      </c>
      <c r="G142" s="144">
        <f ca="1">'F12_Excluding POA'!$H$44/12</f>
        <v>2.1004966048120415</v>
      </c>
      <c r="H142" s="144">
        <f ca="1">'F12_Excluding POA'!$H$44/12</f>
        <v>2.1004966048120415</v>
      </c>
      <c r="I142" s="144">
        <f ca="1">'F12_Excluding POA'!$H$44/12</f>
        <v>2.1004966048120415</v>
      </c>
      <c r="J142" s="144">
        <f ca="1">'F12_Excluding POA'!$H$44/12</f>
        <v>2.1004966048120415</v>
      </c>
      <c r="K142" s="144">
        <f ca="1">'F12_Excluding POA'!$H$44/12</f>
        <v>2.1004966048120415</v>
      </c>
      <c r="L142" s="144">
        <f ca="1">'F12_Excluding POA'!$H$44/12</f>
        <v>2.1004966048120415</v>
      </c>
      <c r="M142" s="144">
        <f ca="1">'F12_Excluding POA'!$H$44/12</f>
        <v>2.1004966048120415</v>
      </c>
      <c r="N142" s="144">
        <f ca="1">'F12_Excluding POA'!$H$44/12</f>
        <v>2.1004966048120415</v>
      </c>
      <c r="O142" s="144">
        <f ca="1">'F12_Excluding POA'!$H$44/12</f>
        <v>2.1004966048120415</v>
      </c>
      <c r="P142" s="144">
        <f t="shared" ca="1" si="30"/>
        <v>25.205959257744492</v>
      </c>
    </row>
    <row r="143" spans="2:16">
      <c r="B143" s="145" t="s">
        <v>598</v>
      </c>
      <c r="C143" s="151" t="s">
        <v>599</v>
      </c>
      <c r="D143" s="144">
        <f ca="1">'F12_Excluding POA'!$H$45/12</f>
        <v>1.5710073917209089</v>
      </c>
      <c r="E143" s="144">
        <f ca="1">'F12_Excluding POA'!$H$45/12</f>
        <v>1.5710073917209089</v>
      </c>
      <c r="F143" s="144">
        <f ca="1">'F12_Excluding POA'!$H$45/12</f>
        <v>1.5710073917209089</v>
      </c>
      <c r="G143" s="144">
        <f ca="1">'F12_Excluding POA'!$H$45/12</f>
        <v>1.5710073917209089</v>
      </c>
      <c r="H143" s="144">
        <f ca="1">'F12_Excluding POA'!$H$45/12</f>
        <v>1.5710073917209089</v>
      </c>
      <c r="I143" s="144">
        <f ca="1">'F12_Excluding POA'!$H$45/12</f>
        <v>1.5710073917209089</v>
      </c>
      <c r="J143" s="144">
        <f ca="1">'F12_Excluding POA'!$H$45/12</f>
        <v>1.5710073917209089</v>
      </c>
      <c r="K143" s="144">
        <f ca="1">'F12_Excluding POA'!$H$45/12</f>
        <v>1.5710073917209089</v>
      </c>
      <c r="L143" s="144">
        <f ca="1">'F12_Excluding POA'!$H$45/12</f>
        <v>1.5710073917209089</v>
      </c>
      <c r="M143" s="144">
        <f ca="1">'F12_Excluding POA'!$H$45/12</f>
        <v>1.5710073917209089</v>
      </c>
      <c r="N143" s="144">
        <f ca="1">'F12_Excluding POA'!$H$45/12</f>
        <v>1.5710073917209089</v>
      </c>
      <c r="O143" s="144">
        <f ca="1">'F12_Excluding POA'!$H$45/12</f>
        <v>1.5710073917209089</v>
      </c>
      <c r="P143" s="144">
        <f t="shared" ca="1" si="30"/>
        <v>18.852088700650903</v>
      </c>
    </row>
    <row r="144" spans="2:16">
      <c r="B144" s="145" t="s">
        <v>600</v>
      </c>
      <c r="C144" s="151" t="s">
        <v>601</v>
      </c>
      <c r="D144" s="144">
        <f ca="1">'F12_Excluding POA'!$H$46/12</f>
        <v>2.5686279857332E-2</v>
      </c>
      <c r="E144" s="144">
        <f ca="1">'F12_Excluding POA'!$H$46/12</f>
        <v>2.5686279857332E-2</v>
      </c>
      <c r="F144" s="144">
        <f ca="1">'F12_Excluding POA'!$H$46/12</f>
        <v>2.5686279857332E-2</v>
      </c>
      <c r="G144" s="144">
        <f ca="1">'F12_Excluding POA'!$H$46/12</f>
        <v>2.5686279857332E-2</v>
      </c>
      <c r="H144" s="144">
        <f ca="1">'F12_Excluding POA'!$H$46/12</f>
        <v>2.5686279857332E-2</v>
      </c>
      <c r="I144" s="144">
        <f ca="1">'F12_Excluding POA'!$H$46/12</f>
        <v>2.5686279857332E-2</v>
      </c>
      <c r="J144" s="144">
        <f ca="1">'F12_Excluding POA'!$H$46/12</f>
        <v>2.5686279857332E-2</v>
      </c>
      <c r="K144" s="144">
        <f ca="1">'F12_Excluding POA'!$H$46/12</f>
        <v>2.5686279857332E-2</v>
      </c>
      <c r="L144" s="144">
        <f ca="1">'F12_Excluding POA'!$H$46/12</f>
        <v>2.5686279857332E-2</v>
      </c>
      <c r="M144" s="144">
        <f ca="1">'F12_Excluding POA'!$H$46/12</f>
        <v>2.5686279857332E-2</v>
      </c>
      <c r="N144" s="144">
        <f ca="1">'F12_Excluding POA'!$H$46/12</f>
        <v>2.5686279857332E-2</v>
      </c>
      <c r="O144" s="144">
        <f ca="1">'F12_Excluding POA'!$H$46/12</f>
        <v>2.5686279857332E-2</v>
      </c>
      <c r="P144" s="144">
        <f t="shared" ca="1" si="30"/>
        <v>0.30823535828798398</v>
      </c>
    </row>
    <row r="145" spans="2:16">
      <c r="B145" s="145" t="s">
        <v>602</v>
      </c>
      <c r="C145" s="151" t="s">
        <v>603</v>
      </c>
      <c r="D145" s="144">
        <f ca="1">'F12_Excluding POA'!$H$47/12</f>
        <v>1.3477581358904527E-2</v>
      </c>
      <c r="E145" s="144">
        <f ca="1">'F12_Excluding POA'!$H$47/12</f>
        <v>1.3477581358904527E-2</v>
      </c>
      <c r="F145" s="144">
        <f ca="1">'F12_Excluding POA'!$H$47/12</f>
        <v>1.3477581358904527E-2</v>
      </c>
      <c r="G145" s="144">
        <f ca="1">'F12_Excluding POA'!$H$47/12</f>
        <v>1.3477581358904527E-2</v>
      </c>
      <c r="H145" s="144">
        <f ca="1">'F12_Excluding POA'!$H$47/12</f>
        <v>1.3477581358904527E-2</v>
      </c>
      <c r="I145" s="144">
        <f ca="1">'F12_Excluding POA'!$H$47/12</f>
        <v>1.3477581358904527E-2</v>
      </c>
      <c r="J145" s="144">
        <f ca="1">'F12_Excluding POA'!$H$47/12</f>
        <v>1.3477581358904527E-2</v>
      </c>
      <c r="K145" s="144">
        <f ca="1">'F12_Excluding POA'!$H$47/12</f>
        <v>1.3477581358904527E-2</v>
      </c>
      <c r="L145" s="144">
        <f ca="1">'F12_Excluding POA'!$H$47/12</f>
        <v>1.3477581358904527E-2</v>
      </c>
      <c r="M145" s="144">
        <f ca="1">'F12_Excluding POA'!$H$47/12</f>
        <v>1.3477581358904527E-2</v>
      </c>
      <c r="N145" s="144">
        <f ca="1">'F12_Excluding POA'!$H$47/12</f>
        <v>1.3477581358904527E-2</v>
      </c>
      <c r="O145" s="144">
        <f ca="1">'F12_Excluding POA'!$H$47/12</f>
        <v>1.3477581358904527E-2</v>
      </c>
      <c r="P145" s="144">
        <f t="shared" ca="1" si="30"/>
        <v>0.16173097630685437</v>
      </c>
    </row>
    <row r="146" spans="2:16">
      <c r="B146" s="145" t="s">
        <v>604</v>
      </c>
      <c r="C146" s="151" t="s">
        <v>605</v>
      </c>
      <c r="D146" s="144">
        <f ca="1">'F12_Excluding POA'!$H$48/12</f>
        <v>1.423824809187226E-2</v>
      </c>
      <c r="E146" s="144">
        <f ca="1">'F12_Excluding POA'!$H$48/12</f>
        <v>1.423824809187226E-2</v>
      </c>
      <c r="F146" s="144">
        <f ca="1">'F12_Excluding POA'!$H$48/12</f>
        <v>1.423824809187226E-2</v>
      </c>
      <c r="G146" s="144">
        <f ca="1">'F12_Excluding POA'!$H$48/12</f>
        <v>1.423824809187226E-2</v>
      </c>
      <c r="H146" s="144">
        <f ca="1">'F12_Excluding POA'!$H$48/12</f>
        <v>1.423824809187226E-2</v>
      </c>
      <c r="I146" s="144">
        <f ca="1">'F12_Excluding POA'!$H$48/12</f>
        <v>1.423824809187226E-2</v>
      </c>
      <c r="J146" s="144">
        <f ca="1">'F12_Excluding POA'!$H$48/12</f>
        <v>1.423824809187226E-2</v>
      </c>
      <c r="K146" s="144">
        <f ca="1">'F12_Excluding POA'!$H$48/12</f>
        <v>1.423824809187226E-2</v>
      </c>
      <c r="L146" s="144">
        <f ca="1">'F12_Excluding POA'!$H$48/12</f>
        <v>1.423824809187226E-2</v>
      </c>
      <c r="M146" s="144">
        <f ca="1">'F12_Excluding POA'!$H$48/12</f>
        <v>1.423824809187226E-2</v>
      </c>
      <c r="N146" s="144">
        <f ca="1">'F12_Excluding POA'!$H$48/12</f>
        <v>1.423824809187226E-2</v>
      </c>
      <c r="O146" s="144">
        <f ca="1">'F12_Excluding POA'!$H$48/12</f>
        <v>1.423824809187226E-2</v>
      </c>
      <c r="P146" s="144">
        <f t="shared" ca="1" si="30"/>
        <v>0.17085897710246714</v>
      </c>
    </row>
    <row r="147" spans="2:16">
      <c r="B147" s="145" t="s">
        <v>606</v>
      </c>
      <c r="C147" s="151" t="s">
        <v>607</v>
      </c>
      <c r="D147" s="144">
        <f ca="1">'F12_Excluding POA'!$H$49/12</f>
        <v>3.8650249472491065E-2</v>
      </c>
      <c r="E147" s="144">
        <f ca="1">'F12_Excluding POA'!$H$49/12</f>
        <v>3.8650249472491065E-2</v>
      </c>
      <c r="F147" s="144">
        <f ca="1">'F12_Excluding POA'!$H$49/12</f>
        <v>3.8650249472491065E-2</v>
      </c>
      <c r="G147" s="144">
        <f ca="1">'F12_Excluding POA'!$H$49/12</f>
        <v>3.8650249472491065E-2</v>
      </c>
      <c r="H147" s="144">
        <f ca="1">'F12_Excluding POA'!$H$49/12</f>
        <v>3.8650249472491065E-2</v>
      </c>
      <c r="I147" s="144">
        <f ca="1">'F12_Excluding POA'!$H$49/12</f>
        <v>3.8650249472491065E-2</v>
      </c>
      <c r="J147" s="144">
        <f ca="1">'F12_Excluding POA'!$H$49/12</f>
        <v>3.8650249472491065E-2</v>
      </c>
      <c r="K147" s="144">
        <f ca="1">'F12_Excluding POA'!$H$49/12</f>
        <v>3.8650249472491065E-2</v>
      </c>
      <c r="L147" s="144">
        <f ca="1">'F12_Excluding POA'!$H$49/12</f>
        <v>3.8650249472491065E-2</v>
      </c>
      <c r="M147" s="144">
        <f ca="1">'F12_Excluding POA'!$H$49/12</f>
        <v>3.8650249472491065E-2</v>
      </c>
      <c r="N147" s="144">
        <f ca="1">'F12_Excluding POA'!$H$49/12</f>
        <v>3.8650249472491065E-2</v>
      </c>
      <c r="O147" s="144">
        <f ca="1">'F12_Excluding POA'!$H$49/12</f>
        <v>3.8650249472491065E-2</v>
      </c>
      <c r="P147" s="144">
        <f t="shared" ca="1" si="30"/>
        <v>0.4638029936698928</v>
      </c>
    </row>
    <row r="148" spans="2:16">
      <c r="B148" s="145" t="s">
        <v>608</v>
      </c>
      <c r="C148" s="151" t="s">
        <v>609</v>
      </c>
      <c r="D148" s="144">
        <f ca="1">'F12_Excluding POA'!$H$50/12</f>
        <v>4.6303827116727647E-2</v>
      </c>
      <c r="E148" s="144">
        <f ca="1">'F12_Excluding POA'!$H$50/12</f>
        <v>4.6303827116727647E-2</v>
      </c>
      <c r="F148" s="144">
        <f ca="1">'F12_Excluding POA'!$H$50/12</f>
        <v>4.6303827116727647E-2</v>
      </c>
      <c r="G148" s="144">
        <f ca="1">'F12_Excluding POA'!$H$50/12</f>
        <v>4.6303827116727647E-2</v>
      </c>
      <c r="H148" s="144">
        <f ca="1">'F12_Excluding POA'!$H$50/12</f>
        <v>4.6303827116727647E-2</v>
      </c>
      <c r="I148" s="144">
        <f ca="1">'F12_Excluding POA'!$H$50/12</f>
        <v>4.6303827116727647E-2</v>
      </c>
      <c r="J148" s="144">
        <f ca="1">'F12_Excluding POA'!$H$50/12</f>
        <v>4.6303827116727647E-2</v>
      </c>
      <c r="K148" s="144">
        <f ca="1">'F12_Excluding POA'!$H$50/12</f>
        <v>4.6303827116727647E-2</v>
      </c>
      <c r="L148" s="144">
        <f ca="1">'F12_Excluding POA'!$H$50/12</f>
        <v>4.6303827116727647E-2</v>
      </c>
      <c r="M148" s="144">
        <f ca="1">'F12_Excluding POA'!$H$50/12</f>
        <v>4.6303827116727647E-2</v>
      </c>
      <c r="N148" s="144">
        <f ca="1">'F12_Excluding POA'!$H$50/12</f>
        <v>4.6303827116727647E-2</v>
      </c>
      <c r="O148" s="144">
        <f ca="1">'F12_Excluding POA'!$H$50/12</f>
        <v>4.6303827116727647E-2</v>
      </c>
      <c r="P148" s="144">
        <f t="shared" ca="1" si="30"/>
        <v>0.55564592540073177</v>
      </c>
    </row>
    <row r="149" spans="2:16">
      <c r="B149" s="145" t="s">
        <v>610</v>
      </c>
      <c r="C149" s="151" t="s">
        <v>611</v>
      </c>
      <c r="D149" s="144">
        <f ca="1">'F12_Excluding POA'!$H$51/12</f>
        <v>2.0288810971025546E-2</v>
      </c>
      <c r="E149" s="144">
        <f ca="1">'F12_Excluding POA'!$H$51/12</f>
        <v>2.0288810971025546E-2</v>
      </c>
      <c r="F149" s="144">
        <f ca="1">'F12_Excluding POA'!$H$51/12</f>
        <v>2.0288810971025546E-2</v>
      </c>
      <c r="G149" s="144">
        <f ca="1">'F12_Excluding POA'!$H$51/12</f>
        <v>2.0288810971025546E-2</v>
      </c>
      <c r="H149" s="144">
        <f ca="1">'F12_Excluding POA'!$H$51/12</f>
        <v>2.0288810971025546E-2</v>
      </c>
      <c r="I149" s="144">
        <f ca="1">'F12_Excluding POA'!$H$51/12</f>
        <v>2.0288810971025546E-2</v>
      </c>
      <c r="J149" s="144">
        <f ca="1">'F12_Excluding POA'!$H$51/12</f>
        <v>2.0288810971025546E-2</v>
      </c>
      <c r="K149" s="144">
        <f ca="1">'F12_Excluding POA'!$H$51/12</f>
        <v>2.0288810971025546E-2</v>
      </c>
      <c r="L149" s="144">
        <f ca="1">'F12_Excluding POA'!$H$51/12</f>
        <v>2.0288810971025546E-2</v>
      </c>
      <c r="M149" s="144">
        <f ca="1">'F12_Excluding POA'!$H$51/12</f>
        <v>2.0288810971025546E-2</v>
      </c>
      <c r="N149" s="144">
        <f ca="1">'F12_Excluding POA'!$H$51/12</f>
        <v>2.0288810971025546E-2</v>
      </c>
      <c r="O149" s="144">
        <f ca="1">'F12_Excluding POA'!$H$51/12</f>
        <v>2.0288810971025546E-2</v>
      </c>
      <c r="P149" s="144">
        <f t="shared" ca="1" si="30"/>
        <v>0.24346573165230659</v>
      </c>
    </row>
    <row r="150" spans="2:16">
      <c r="B150" s="145" t="s">
        <v>612</v>
      </c>
      <c r="C150" s="151" t="s">
        <v>613</v>
      </c>
      <c r="D150" s="144">
        <f ca="1">'F12_Excluding POA'!$H$52/12</f>
        <v>1.3608863269798965E-2</v>
      </c>
      <c r="E150" s="144">
        <f ca="1">'F12_Excluding POA'!$H$52/12</f>
        <v>1.3608863269798965E-2</v>
      </c>
      <c r="F150" s="144">
        <f ca="1">'F12_Excluding POA'!$H$52/12</f>
        <v>1.3608863269798965E-2</v>
      </c>
      <c r="G150" s="144">
        <f ca="1">'F12_Excluding POA'!$H$52/12</f>
        <v>1.3608863269798965E-2</v>
      </c>
      <c r="H150" s="144">
        <f ca="1">'F12_Excluding POA'!$H$52/12</f>
        <v>1.3608863269798965E-2</v>
      </c>
      <c r="I150" s="144">
        <f ca="1">'F12_Excluding POA'!$H$52/12</f>
        <v>1.3608863269798965E-2</v>
      </c>
      <c r="J150" s="144">
        <f ca="1">'F12_Excluding POA'!$H$52/12</f>
        <v>1.3608863269798965E-2</v>
      </c>
      <c r="K150" s="144">
        <f ca="1">'F12_Excluding POA'!$H$52/12</f>
        <v>1.3608863269798965E-2</v>
      </c>
      <c r="L150" s="144">
        <f ca="1">'F12_Excluding POA'!$H$52/12</f>
        <v>1.3608863269798965E-2</v>
      </c>
      <c r="M150" s="144">
        <f ca="1">'F12_Excluding POA'!$H$52/12</f>
        <v>1.3608863269798965E-2</v>
      </c>
      <c r="N150" s="144">
        <f ca="1">'F12_Excluding POA'!$H$52/12</f>
        <v>1.3608863269798965E-2</v>
      </c>
      <c r="O150" s="144">
        <f ca="1">'F12_Excluding POA'!$H$52/12</f>
        <v>1.3608863269798965E-2</v>
      </c>
      <c r="P150" s="144">
        <f t="shared" ca="1" si="30"/>
        <v>0.16330635923758755</v>
      </c>
    </row>
    <row r="151" spans="2:16">
      <c r="B151" s="145" t="s">
        <v>614</v>
      </c>
      <c r="C151" s="151" t="s">
        <v>615</v>
      </c>
      <c r="D151" s="144">
        <f ca="1">'F12_Excluding POA'!$H$53/12</f>
        <v>5.9796773131905257E-3</v>
      </c>
      <c r="E151" s="144">
        <f ca="1">'F12_Excluding POA'!$H$53/12</f>
        <v>5.9796773131905257E-3</v>
      </c>
      <c r="F151" s="144">
        <f ca="1">'F12_Excluding POA'!$H$53/12</f>
        <v>5.9796773131905257E-3</v>
      </c>
      <c r="G151" s="144">
        <f ca="1">'F12_Excluding POA'!$H$53/12</f>
        <v>5.9796773131905257E-3</v>
      </c>
      <c r="H151" s="144">
        <f ca="1">'F12_Excluding POA'!$H$53/12</f>
        <v>5.9796773131905257E-3</v>
      </c>
      <c r="I151" s="144">
        <f ca="1">'F12_Excluding POA'!$H$53/12</f>
        <v>5.9796773131905257E-3</v>
      </c>
      <c r="J151" s="144">
        <f ca="1">'F12_Excluding POA'!$H$53/12</f>
        <v>5.9796773131905257E-3</v>
      </c>
      <c r="K151" s="144">
        <f ca="1">'F12_Excluding POA'!$H$53/12</f>
        <v>5.9796773131905257E-3</v>
      </c>
      <c r="L151" s="144">
        <f ca="1">'F12_Excluding POA'!$H$53/12</f>
        <v>5.9796773131905257E-3</v>
      </c>
      <c r="M151" s="144">
        <f ca="1">'F12_Excluding POA'!$H$53/12</f>
        <v>5.9796773131905257E-3</v>
      </c>
      <c r="N151" s="144">
        <f ca="1">'F12_Excluding POA'!$H$53/12</f>
        <v>5.9796773131905257E-3</v>
      </c>
      <c r="O151" s="144">
        <f ca="1">'F12_Excluding POA'!$H$53/12</f>
        <v>5.9796773131905257E-3</v>
      </c>
      <c r="P151" s="144">
        <f t="shared" ca="1" si="30"/>
        <v>7.1756127758286312E-2</v>
      </c>
    </row>
    <row r="152" spans="2:16">
      <c r="B152" s="145" t="s">
        <v>616</v>
      </c>
      <c r="C152" s="151" t="s">
        <v>617</v>
      </c>
      <c r="D152" s="144">
        <f ca="1">'F12_Excluding POA'!$H$54/12</f>
        <v>1.6340583284761437E-3</v>
      </c>
      <c r="E152" s="144">
        <f ca="1">'F12_Excluding POA'!$H$54/12</f>
        <v>1.6340583284761437E-3</v>
      </c>
      <c r="F152" s="144">
        <f ca="1">'F12_Excluding POA'!$H$54/12</f>
        <v>1.6340583284761437E-3</v>
      </c>
      <c r="G152" s="144">
        <f ca="1">'F12_Excluding POA'!$H$54/12</f>
        <v>1.6340583284761437E-3</v>
      </c>
      <c r="H152" s="144">
        <f ca="1">'F12_Excluding POA'!$H$54/12</f>
        <v>1.6340583284761437E-3</v>
      </c>
      <c r="I152" s="144">
        <f ca="1">'F12_Excluding POA'!$H$54/12</f>
        <v>1.6340583284761437E-3</v>
      </c>
      <c r="J152" s="144">
        <f ca="1">'F12_Excluding POA'!$H$54/12</f>
        <v>1.6340583284761437E-3</v>
      </c>
      <c r="K152" s="144">
        <f ca="1">'F12_Excluding POA'!$H$54/12</f>
        <v>1.6340583284761437E-3</v>
      </c>
      <c r="L152" s="144">
        <f ca="1">'F12_Excluding POA'!$H$54/12</f>
        <v>1.6340583284761437E-3</v>
      </c>
      <c r="M152" s="144">
        <f ca="1">'F12_Excluding POA'!$H$54/12</f>
        <v>1.6340583284761437E-3</v>
      </c>
      <c r="N152" s="144">
        <f ca="1">'F12_Excluding POA'!$H$54/12</f>
        <v>1.6340583284761437E-3</v>
      </c>
      <c r="O152" s="144">
        <f ca="1">'F12_Excluding POA'!$H$54/12</f>
        <v>1.6340583284761437E-3</v>
      </c>
      <c r="P152" s="144">
        <f t="shared" ca="1" si="30"/>
        <v>1.9608699941713718E-2</v>
      </c>
    </row>
    <row r="153" spans="2:16">
      <c r="B153" s="145" t="s">
        <v>618</v>
      </c>
      <c r="C153" s="151" t="s">
        <v>619</v>
      </c>
      <c r="D153" s="144">
        <f ca="1">'F12_Excluding POA'!$H$55/12</f>
        <v>8.2514238320666178E-2</v>
      </c>
      <c r="E153" s="144">
        <f ca="1">'F12_Excluding POA'!$H$55/12</f>
        <v>8.2514238320666178E-2</v>
      </c>
      <c r="F153" s="144">
        <f ca="1">'F12_Excluding POA'!$H$55/12</f>
        <v>8.2514238320666178E-2</v>
      </c>
      <c r="G153" s="144">
        <f ca="1">'F12_Excluding POA'!$H$55/12</f>
        <v>8.2514238320666178E-2</v>
      </c>
      <c r="H153" s="144">
        <f ca="1">'F12_Excluding POA'!$H$55/12</f>
        <v>8.2514238320666178E-2</v>
      </c>
      <c r="I153" s="144">
        <f ca="1">'F12_Excluding POA'!$H$55/12</f>
        <v>8.2514238320666178E-2</v>
      </c>
      <c r="J153" s="144">
        <f ca="1">'F12_Excluding POA'!$H$55/12</f>
        <v>8.2514238320666178E-2</v>
      </c>
      <c r="K153" s="144">
        <f ca="1">'F12_Excluding POA'!$H$55/12</f>
        <v>8.2514238320666178E-2</v>
      </c>
      <c r="L153" s="144">
        <f ca="1">'F12_Excluding POA'!$H$55/12</f>
        <v>8.2514238320666178E-2</v>
      </c>
      <c r="M153" s="144">
        <f ca="1">'F12_Excluding POA'!$H$55/12</f>
        <v>8.2514238320666178E-2</v>
      </c>
      <c r="N153" s="144">
        <f ca="1">'F12_Excluding POA'!$H$55/12</f>
        <v>8.2514238320666178E-2</v>
      </c>
      <c r="O153" s="144">
        <f ca="1">'F12_Excluding POA'!$H$55/12</f>
        <v>8.2514238320666178E-2</v>
      </c>
      <c r="P153" s="144">
        <f t="shared" ca="1" si="30"/>
        <v>0.99017085984799413</v>
      </c>
    </row>
    <row r="154" spans="2:16">
      <c r="B154" s="145" t="s">
        <v>666</v>
      </c>
      <c r="C154" s="151" t="s">
        <v>620</v>
      </c>
      <c r="D154" s="144">
        <f ca="1">'F12_Excluding POA'!$H$56/12</f>
        <v>3.7971137826740484E-2</v>
      </c>
      <c r="E154" s="144">
        <f ca="1">'F12_Excluding POA'!$H$56/12</f>
        <v>3.7971137826740484E-2</v>
      </c>
      <c r="F154" s="144">
        <f ca="1">'F12_Excluding POA'!$H$56/12</f>
        <v>3.7971137826740484E-2</v>
      </c>
      <c r="G154" s="144">
        <f ca="1">'F12_Excluding POA'!$H$56/12</f>
        <v>3.7971137826740484E-2</v>
      </c>
      <c r="H154" s="144">
        <f ca="1">'F12_Excluding POA'!$H$56/12</f>
        <v>3.7971137826740484E-2</v>
      </c>
      <c r="I154" s="144">
        <f ca="1">'F12_Excluding POA'!$H$56/12</f>
        <v>3.7971137826740484E-2</v>
      </c>
      <c r="J154" s="144">
        <f ca="1">'F12_Excluding POA'!$H$56/12</f>
        <v>3.7971137826740484E-2</v>
      </c>
      <c r="K154" s="144">
        <f ca="1">'F12_Excluding POA'!$H$56/12</f>
        <v>3.7971137826740484E-2</v>
      </c>
      <c r="L154" s="144">
        <f ca="1">'F12_Excluding POA'!$H$56/12</f>
        <v>3.7971137826740484E-2</v>
      </c>
      <c r="M154" s="144">
        <f ca="1">'F12_Excluding POA'!$H$56/12</f>
        <v>3.7971137826740484E-2</v>
      </c>
      <c r="N154" s="144">
        <f ca="1">'F12_Excluding POA'!$H$56/12</f>
        <v>3.7971137826740484E-2</v>
      </c>
      <c r="O154" s="144">
        <f ca="1">'F12_Excluding POA'!$H$56/12</f>
        <v>3.7971137826740484E-2</v>
      </c>
      <c r="P154" s="144">
        <f t="shared" ca="1" si="30"/>
        <v>0.45565365392088591</v>
      </c>
    </row>
    <row r="155" spans="2:16">
      <c r="B155" s="145" t="s">
        <v>667</v>
      </c>
      <c r="C155" s="151" t="s">
        <v>621</v>
      </c>
      <c r="D155" s="144">
        <f ca="1">'F12_Excluding POA'!$H$57/12</f>
        <v>2.6589482485136776E-2</v>
      </c>
      <c r="E155" s="144">
        <f ca="1">'F12_Excluding POA'!$H$57/12</f>
        <v>2.6589482485136776E-2</v>
      </c>
      <c r="F155" s="144">
        <f ca="1">'F12_Excluding POA'!$H$57/12</f>
        <v>2.6589482485136776E-2</v>
      </c>
      <c r="G155" s="144">
        <f ca="1">'F12_Excluding POA'!$H$57/12</f>
        <v>2.6589482485136776E-2</v>
      </c>
      <c r="H155" s="144">
        <f ca="1">'F12_Excluding POA'!$H$57/12</f>
        <v>2.6589482485136776E-2</v>
      </c>
      <c r="I155" s="144">
        <f ca="1">'F12_Excluding POA'!$H$57/12</f>
        <v>2.6589482485136776E-2</v>
      </c>
      <c r="J155" s="144">
        <f ca="1">'F12_Excluding POA'!$H$57/12</f>
        <v>2.6589482485136776E-2</v>
      </c>
      <c r="K155" s="144">
        <f ca="1">'F12_Excluding POA'!$H$57/12</f>
        <v>2.6589482485136776E-2</v>
      </c>
      <c r="L155" s="144">
        <f ca="1">'F12_Excluding POA'!$H$57/12</f>
        <v>2.6589482485136776E-2</v>
      </c>
      <c r="M155" s="144">
        <f ca="1">'F12_Excluding POA'!$H$57/12</f>
        <v>2.6589482485136776E-2</v>
      </c>
      <c r="N155" s="144">
        <f ca="1">'F12_Excluding POA'!$H$57/12</f>
        <v>2.6589482485136776E-2</v>
      </c>
      <c r="O155" s="144">
        <f ca="1">'F12_Excluding POA'!$H$57/12</f>
        <v>2.6589482485136776E-2</v>
      </c>
      <c r="P155" s="144">
        <f t="shared" ca="1" si="30"/>
        <v>0.3190737898216412</v>
      </c>
    </row>
    <row r="156" spans="2:16">
      <c r="B156" s="145" t="s">
        <v>668</v>
      </c>
      <c r="C156" s="151" t="s">
        <v>622</v>
      </c>
      <c r="D156" s="144">
        <f ca="1">'F12_Excluding POA'!$H$58/12</f>
        <v>5.0066726573005253E-2</v>
      </c>
      <c r="E156" s="144">
        <f ca="1">'F12_Excluding POA'!$H$58/12</f>
        <v>5.0066726573005253E-2</v>
      </c>
      <c r="F156" s="144">
        <f ca="1">'F12_Excluding POA'!$H$58/12</f>
        <v>5.0066726573005253E-2</v>
      </c>
      <c r="G156" s="144">
        <f ca="1">'F12_Excluding POA'!$H$58/12</f>
        <v>5.0066726573005253E-2</v>
      </c>
      <c r="H156" s="144">
        <f ca="1">'F12_Excluding POA'!$H$58/12</f>
        <v>5.0066726573005253E-2</v>
      </c>
      <c r="I156" s="144">
        <f ca="1">'F12_Excluding POA'!$H$58/12</f>
        <v>5.0066726573005253E-2</v>
      </c>
      <c r="J156" s="144">
        <f ca="1">'F12_Excluding POA'!$H$58/12</f>
        <v>5.0066726573005253E-2</v>
      </c>
      <c r="K156" s="144">
        <f ca="1">'F12_Excluding POA'!$H$58/12</f>
        <v>5.0066726573005253E-2</v>
      </c>
      <c r="L156" s="144">
        <f ca="1">'F12_Excluding POA'!$H$58/12</f>
        <v>5.0066726573005253E-2</v>
      </c>
      <c r="M156" s="144">
        <f ca="1">'F12_Excluding POA'!$H$58/12</f>
        <v>5.0066726573005253E-2</v>
      </c>
      <c r="N156" s="144">
        <f ca="1">'F12_Excluding POA'!$H$58/12</f>
        <v>5.0066726573005253E-2</v>
      </c>
      <c r="O156" s="144">
        <f ca="1">'F12_Excluding POA'!$H$58/12</f>
        <v>5.0066726573005253E-2</v>
      </c>
      <c r="P156" s="144">
        <f t="shared" ca="1" si="30"/>
        <v>0.60080071887606301</v>
      </c>
    </row>
    <row r="157" spans="2:16">
      <c r="B157" s="145"/>
      <c r="C157" s="146"/>
      <c r="D157" s="144">
        <f ca="1">'F12_Excluding POA'!$H$59/12</f>
        <v>5.0066726573005253E-2</v>
      </c>
      <c r="E157" s="144">
        <f ca="1">'F12_Excluding POA'!$H$59/12</f>
        <v>5.0066726573005253E-2</v>
      </c>
      <c r="F157" s="144">
        <f ca="1">'F12_Excluding POA'!$H$59/12</f>
        <v>5.0066726573005253E-2</v>
      </c>
      <c r="G157" s="144">
        <f ca="1">'F12_Excluding POA'!$H$59/12</f>
        <v>5.0066726573005253E-2</v>
      </c>
      <c r="H157" s="144">
        <f ca="1">'F12_Excluding POA'!$H$59/12</f>
        <v>5.0066726573005253E-2</v>
      </c>
      <c r="I157" s="144">
        <f ca="1">'F12_Excluding POA'!$H$59/12</f>
        <v>5.0066726573005253E-2</v>
      </c>
      <c r="J157" s="144">
        <f ca="1">'F12_Excluding POA'!$H$59/12</f>
        <v>5.0066726573005253E-2</v>
      </c>
      <c r="K157" s="144">
        <f ca="1">'F12_Excluding POA'!$H$59/12</f>
        <v>5.0066726573005253E-2</v>
      </c>
      <c r="L157" s="144">
        <f ca="1">'F12_Excluding POA'!$H$59/12</f>
        <v>5.0066726573005253E-2</v>
      </c>
      <c r="M157" s="144">
        <f ca="1">'F12_Excluding POA'!$H$59/12</f>
        <v>5.0066726573005253E-2</v>
      </c>
      <c r="N157" s="144">
        <f ca="1">'F12_Excluding POA'!$H$59/12</f>
        <v>5.0066726573005253E-2</v>
      </c>
      <c r="O157" s="144">
        <f ca="1">'F12_Excluding POA'!$H$59/12</f>
        <v>5.0066726573005253E-2</v>
      </c>
      <c r="P157" s="144">
        <f t="shared" ca="1" si="30"/>
        <v>0.60080071887606301</v>
      </c>
    </row>
    <row r="158" spans="2:16">
      <c r="B158" s="142">
        <v>2</v>
      </c>
      <c r="C158" s="143" t="s">
        <v>623</v>
      </c>
      <c r="D158" s="144"/>
      <c r="E158" s="144"/>
      <c r="F158" s="144"/>
      <c r="G158" s="144"/>
      <c r="H158" s="144"/>
      <c r="I158" s="144"/>
      <c r="J158" s="144"/>
      <c r="K158" s="144"/>
      <c r="L158" s="144"/>
      <c r="M158" s="144"/>
      <c r="N158" s="144"/>
      <c r="O158" s="144"/>
      <c r="P158" s="144"/>
    </row>
    <row r="159" spans="2:16">
      <c r="B159" s="145"/>
      <c r="C159" s="146" t="s">
        <v>65</v>
      </c>
      <c r="D159" s="144"/>
      <c r="E159" s="144"/>
      <c r="F159" s="144"/>
      <c r="G159" s="144"/>
      <c r="H159" s="144"/>
      <c r="I159" s="144"/>
      <c r="J159" s="144"/>
      <c r="K159" s="144"/>
      <c r="L159" s="144"/>
      <c r="M159" s="144"/>
      <c r="N159" s="144"/>
      <c r="O159" s="144"/>
      <c r="P159" s="144"/>
    </row>
    <row r="160" spans="2:16">
      <c r="B160" s="145"/>
      <c r="C160" s="146" t="s">
        <v>65</v>
      </c>
      <c r="D160" s="144"/>
      <c r="E160" s="144"/>
      <c r="F160" s="144"/>
      <c r="G160" s="144"/>
      <c r="H160" s="144"/>
      <c r="I160" s="144"/>
      <c r="J160" s="144"/>
      <c r="K160" s="144"/>
      <c r="L160" s="144"/>
      <c r="M160" s="144"/>
      <c r="N160" s="144"/>
      <c r="O160" s="144"/>
      <c r="P160" s="144"/>
    </row>
    <row r="161" spans="2:16">
      <c r="B161" s="142"/>
      <c r="C161" s="146"/>
      <c r="D161" s="144"/>
      <c r="E161" s="144"/>
      <c r="F161" s="144"/>
      <c r="G161" s="144"/>
      <c r="H161" s="144"/>
      <c r="I161" s="144"/>
      <c r="J161" s="144"/>
      <c r="K161" s="144"/>
      <c r="L161" s="144"/>
      <c r="M161" s="144"/>
      <c r="N161" s="144"/>
      <c r="O161" s="144"/>
      <c r="P161" s="144"/>
    </row>
    <row r="162" spans="2:16">
      <c r="B162" s="142">
        <v>3</v>
      </c>
      <c r="C162" s="143" t="s">
        <v>624</v>
      </c>
      <c r="D162" s="144"/>
      <c r="E162" s="144"/>
      <c r="F162" s="144"/>
      <c r="G162" s="144"/>
      <c r="H162" s="144"/>
      <c r="I162" s="144"/>
      <c r="J162" s="144"/>
      <c r="K162" s="144"/>
      <c r="L162" s="144"/>
      <c r="M162" s="144"/>
      <c r="N162" s="144"/>
      <c r="O162" s="144"/>
      <c r="P162" s="144"/>
    </row>
    <row r="163" spans="2:16">
      <c r="B163" s="142"/>
      <c r="C163" s="143" t="s">
        <v>348</v>
      </c>
      <c r="D163" s="144"/>
      <c r="E163" s="144"/>
      <c r="F163" s="144"/>
      <c r="G163" s="144"/>
      <c r="H163" s="144"/>
      <c r="I163" s="144"/>
      <c r="J163" s="144"/>
      <c r="K163" s="144"/>
      <c r="L163" s="144"/>
      <c r="M163" s="144"/>
      <c r="N163" s="144"/>
      <c r="O163" s="144"/>
      <c r="P163" s="144"/>
    </row>
    <row r="164" spans="2:16">
      <c r="B164" s="147">
        <v>4</v>
      </c>
      <c r="C164" s="148" t="s">
        <v>625</v>
      </c>
      <c r="D164" s="324">
        <f t="shared" ref="D164:P164" ca="1" si="31">SUM(D139:D163)</f>
        <v>78.971677413863077</v>
      </c>
      <c r="E164" s="324">
        <f t="shared" ca="1" si="31"/>
        <v>78.971677413863077</v>
      </c>
      <c r="F164" s="324">
        <f t="shared" ca="1" si="31"/>
        <v>78.971677413863077</v>
      </c>
      <c r="G164" s="324">
        <f t="shared" ca="1" si="31"/>
        <v>78.971677413863077</v>
      </c>
      <c r="H164" s="324">
        <f t="shared" ca="1" si="31"/>
        <v>78.971677413863077</v>
      </c>
      <c r="I164" s="324">
        <f t="shared" ca="1" si="31"/>
        <v>78.971677413863077</v>
      </c>
      <c r="J164" s="324">
        <f t="shared" ca="1" si="31"/>
        <v>78.971677413863077</v>
      </c>
      <c r="K164" s="324">
        <f t="shared" ca="1" si="31"/>
        <v>78.971677413863077</v>
      </c>
      <c r="L164" s="324">
        <f t="shared" ca="1" si="31"/>
        <v>78.971677413863077</v>
      </c>
      <c r="M164" s="324">
        <f t="shared" ca="1" si="31"/>
        <v>78.971677413863077</v>
      </c>
      <c r="N164" s="324">
        <f t="shared" ca="1" si="31"/>
        <v>78.971677413863077</v>
      </c>
      <c r="O164" s="324">
        <f t="shared" ca="1" si="31"/>
        <v>78.971677413863077</v>
      </c>
      <c r="P164" s="324">
        <f t="shared" ca="1" si="31"/>
        <v>947.66012896635698</v>
      </c>
    </row>
  </sheetData>
  <pageMargins left="0.62" right="0.23622047244094491" top="0.98425196850393704" bottom="0.98425196850393704" header="0.23622047244094491" footer="0.23622047244094491"/>
  <pageSetup paperSize="9" scale="21" orientation="landscape" r:id="rId1"/>
  <headerFooter alignWithMargins="0">
    <oddHeader>&amp;F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Q172"/>
  <sheetViews>
    <sheetView showGridLines="0" view="pageBreakPreview" topLeftCell="A129" zoomScale="52" zoomScaleNormal="32" workbookViewId="0">
      <selection activeCell="N167" sqref="N167"/>
    </sheetView>
  </sheetViews>
  <sheetFormatPr defaultColWidth="9.140625" defaultRowHeight="13.9"/>
  <cols>
    <col min="1" max="1" width="4.140625" style="1" customWidth="1"/>
    <col min="2" max="2" width="9.42578125" style="1" customWidth="1"/>
    <col min="3" max="3" width="57.42578125" style="1" customWidth="1"/>
    <col min="4" max="7" width="16.28515625" style="1" customWidth="1"/>
    <col min="8" max="16" width="15.7109375" style="1" customWidth="1"/>
    <col min="17" max="17" width="9.42578125" style="1" bestFit="1" customWidth="1"/>
    <col min="18" max="16384" width="9.140625" style="1"/>
  </cols>
  <sheetData>
    <row r="1" spans="2:17">
      <c r="B1" s="6"/>
    </row>
    <row r="2" spans="2:17">
      <c r="B2" s="53"/>
      <c r="C2" s="137"/>
      <c r="D2" s="137"/>
      <c r="E2" s="137"/>
      <c r="G2" s="137"/>
      <c r="H2" s="52" t="s">
        <v>0</v>
      </c>
      <c r="I2" s="137"/>
      <c r="J2" s="137"/>
      <c r="K2" s="137"/>
      <c r="L2" s="137"/>
      <c r="M2" s="137"/>
      <c r="N2" s="137"/>
      <c r="O2" s="137"/>
      <c r="P2" s="137"/>
    </row>
    <row r="3" spans="2:17">
      <c r="B3" s="53"/>
      <c r="C3" s="137"/>
      <c r="D3" s="137"/>
      <c r="E3" s="137"/>
      <c r="G3" s="137"/>
      <c r="H3" s="55" t="s">
        <v>1</v>
      </c>
      <c r="I3" s="137"/>
      <c r="J3" s="137"/>
      <c r="K3" s="137"/>
      <c r="L3" s="137"/>
      <c r="M3" s="137"/>
      <c r="N3" s="137"/>
      <c r="O3" s="137"/>
      <c r="P3" s="137"/>
    </row>
    <row r="4" spans="2:17">
      <c r="C4" s="137"/>
      <c r="D4" s="137"/>
      <c r="E4" s="137"/>
      <c r="G4" s="137"/>
      <c r="H4" s="44" t="s">
        <v>669</v>
      </c>
      <c r="I4" s="137"/>
      <c r="J4" s="137"/>
      <c r="K4" s="137"/>
      <c r="L4" s="137"/>
      <c r="M4" s="137"/>
      <c r="N4" s="137"/>
      <c r="O4" s="137"/>
      <c r="P4" s="137"/>
    </row>
    <row r="5" spans="2:17">
      <c r="B5" s="2"/>
      <c r="C5" s="2"/>
    </row>
    <row r="6" spans="2:17">
      <c r="B6" s="8" t="s">
        <v>670</v>
      </c>
      <c r="C6" s="7"/>
      <c r="G6" s="7"/>
      <c r="I6" s="8"/>
      <c r="L6" s="8"/>
    </row>
    <row r="7" spans="2:17">
      <c r="C7" s="7"/>
      <c r="G7" s="7"/>
      <c r="I7" s="8"/>
      <c r="L7" s="8"/>
    </row>
    <row r="8" spans="2:17">
      <c r="B8" s="8" t="s">
        <v>671</v>
      </c>
      <c r="C8" s="7"/>
      <c r="G8" s="7"/>
      <c r="I8" s="8"/>
      <c r="L8" s="8"/>
    </row>
    <row r="9" spans="2:17">
      <c r="C9" s="7"/>
      <c r="G9" s="7"/>
      <c r="I9" s="8"/>
      <c r="L9" s="8"/>
      <c r="P9" s="7" t="s">
        <v>672</v>
      </c>
    </row>
    <row r="10" spans="2:17">
      <c r="B10" s="149" t="s">
        <v>2</v>
      </c>
      <c r="C10" s="149" t="s">
        <v>53</v>
      </c>
      <c r="D10" s="141" t="s">
        <v>577</v>
      </c>
      <c r="E10" s="141" t="s">
        <v>578</v>
      </c>
      <c r="F10" s="141" t="s">
        <v>579</v>
      </c>
      <c r="G10" s="141" t="s">
        <v>580</v>
      </c>
      <c r="H10" s="141" t="s">
        <v>581</v>
      </c>
      <c r="I10" s="141" t="s">
        <v>582</v>
      </c>
      <c r="J10" s="141" t="s">
        <v>583</v>
      </c>
      <c r="K10" s="141" t="s">
        <v>584</v>
      </c>
      <c r="L10" s="141" t="s">
        <v>585</v>
      </c>
      <c r="M10" s="141" t="s">
        <v>586</v>
      </c>
      <c r="N10" s="141" t="s">
        <v>587</v>
      </c>
      <c r="O10" s="141" t="s">
        <v>588</v>
      </c>
      <c r="P10" s="141" t="s">
        <v>219</v>
      </c>
      <c r="Q10" s="263" t="s">
        <v>648</v>
      </c>
    </row>
    <row r="11" spans="2:17" s="9" customFormat="1">
      <c r="B11" s="150">
        <v>1</v>
      </c>
      <c r="C11" s="151" t="s">
        <v>591</v>
      </c>
      <c r="D11" s="298">
        <v>23777.580184858241</v>
      </c>
      <c r="E11" s="298">
        <v>23114.838614682703</v>
      </c>
      <c r="F11" s="298">
        <v>23619.035990888384</v>
      </c>
      <c r="G11" s="298">
        <v>20118.764489458452</v>
      </c>
      <c r="H11" s="298">
        <v>22602.359661087001</v>
      </c>
      <c r="I11" s="298">
        <v>22816.750661703885</v>
      </c>
      <c r="J11" s="298">
        <v>23750.009743961851</v>
      </c>
      <c r="K11" s="298">
        <v>23744.482949499121</v>
      </c>
      <c r="L11" s="298">
        <v>23213.338223779105</v>
      </c>
      <c r="M11" s="298">
        <v>23925.065047344586</v>
      </c>
      <c r="N11" s="298">
        <v>24117.371051274113</v>
      </c>
      <c r="O11" s="298">
        <v>23955.496518235355</v>
      </c>
      <c r="P11" s="298">
        <f>SUM(D11:O11)</f>
        <v>278755.0931367728</v>
      </c>
      <c r="Q11" s="557">
        <f>IFERROR(AVERAGE(D11:O11),0)</f>
        <v>23229.591094731066</v>
      </c>
    </row>
    <row r="12" spans="2:17" s="9" customFormat="1">
      <c r="B12" s="150">
        <v>2</v>
      </c>
      <c r="C12" s="151" t="s">
        <v>593</v>
      </c>
      <c r="D12" s="298">
        <v>1001.058344584069</v>
      </c>
      <c r="E12" s="298">
        <v>980.55217751970144</v>
      </c>
      <c r="F12" s="298">
        <v>958.56164837440463</v>
      </c>
      <c r="G12" s="298">
        <v>856.30463001240173</v>
      </c>
      <c r="H12" s="298">
        <v>795.26943583384991</v>
      </c>
      <c r="I12" s="298">
        <v>843.86881720430119</v>
      </c>
      <c r="J12" s="298">
        <v>925.45906499429873</v>
      </c>
      <c r="K12" s="298">
        <v>847.58632655168856</v>
      </c>
      <c r="L12" s="298">
        <v>772.80506902946627</v>
      </c>
      <c r="M12" s="298">
        <v>732.11082750102923</v>
      </c>
      <c r="N12" s="298">
        <v>800.67607551841536</v>
      </c>
      <c r="O12" s="298">
        <v>891.5068085546028</v>
      </c>
      <c r="P12" s="298">
        <f t="shared" ref="P12:P29" si="0">SUM(D12:O12)</f>
        <v>10405.759225678228</v>
      </c>
      <c r="Q12" s="557">
        <f t="shared" ref="Q12:Q29" si="1">IFERROR(AVERAGE(D12:O12),0)</f>
        <v>867.14660213985235</v>
      </c>
    </row>
    <row r="13" spans="2:17" s="9" customFormat="1">
      <c r="B13" s="150">
        <v>3</v>
      </c>
      <c r="C13" s="151" t="s">
        <v>595</v>
      </c>
      <c r="D13" s="298">
        <v>1750.7948073527884</v>
      </c>
      <c r="E13" s="298">
        <v>1681.2703027789298</v>
      </c>
      <c r="F13" s="298">
        <v>1743.5421412300684</v>
      </c>
      <c r="G13" s="298">
        <v>1518.8953699875983</v>
      </c>
      <c r="H13" s="298">
        <v>1524.7526348419096</v>
      </c>
      <c r="I13" s="298">
        <v>1651.6774607113318</v>
      </c>
      <c r="J13" s="298">
        <v>1648.781755986317</v>
      </c>
      <c r="K13" s="298">
        <v>1537.3907260146648</v>
      </c>
      <c r="L13" s="298">
        <v>1327.3545847929115</v>
      </c>
      <c r="M13" s="298">
        <v>1264.6793330588719</v>
      </c>
      <c r="N13" s="298">
        <v>1392.7653770762406</v>
      </c>
      <c r="O13" s="298">
        <v>1621.1043702861866</v>
      </c>
      <c r="P13" s="298">
        <f t="shared" si="0"/>
        <v>18663.008864117815</v>
      </c>
      <c r="Q13" s="557">
        <f t="shared" si="1"/>
        <v>1555.2507386764846</v>
      </c>
    </row>
    <row r="14" spans="2:17" s="9" customFormat="1">
      <c r="B14" s="150">
        <v>4</v>
      </c>
      <c r="C14" s="151" t="s">
        <v>597</v>
      </c>
      <c r="D14" s="298">
        <v>866.34757503375226</v>
      </c>
      <c r="E14" s="298">
        <v>873.04292824554113</v>
      </c>
      <c r="F14" s="298">
        <v>912.36082004555817</v>
      </c>
      <c r="G14" s="298">
        <v>742.88528317486555</v>
      </c>
      <c r="H14" s="298">
        <v>754.84868774540189</v>
      </c>
      <c r="I14" s="298">
        <v>812.62845326716297</v>
      </c>
      <c r="J14" s="298">
        <v>832.73374105939672</v>
      </c>
      <c r="K14" s="298">
        <v>785.78779303934732</v>
      </c>
      <c r="L14" s="298">
        <v>650.97902328456621</v>
      </c>
      <c r="M14" s="298">
        <v>614.20317002881848</v>
      </c>
      <c r="N14" s="298">
        <v>675.59067368203864</v>
      </c>
      <c r="O14" s="298">
        <v>800.68672383510693</v>
      </c>
      <c r="P14" s="298">
        <f t="shared" si="0"/>
        <v>9322.0948724415539</v>
      </c>
      <c r="Q14" s="557">
        <f t="shared" si="1"/>
        <v>776.84123937012953</v>
      </c>
    </row>
    <row r="15" spans="2:17" s="9" customFormat="1">
      <c r="B15" s="150">
        <v>5</v>
      </c>
      <c r="C15" s="151" t="s">
        <v>599</v>
      </c>
      <c r="D15" s="298">
        <v>444.51265967390174</v>
      </c>
      <c r="E15" s="298">
        <v>432.61401907922021</v>
      </c>
      <c r="F15" s="298">
        <v>415.3208945951543</v>
      </c>
      <c r="G15" s="298">
        <v>404.30541546093423</v>
      </c>
      <c r="H15" s="298">
        <v>435.70766687332093</v>
      </c>
      <c r="I15" s="298">
        <v>434.40661703887508</v>
      </c>
      <c r="J15" s="298">
        <v>450.5517570229087</v>
      </c>
      <c r="K15" s="298">
        <v>471.92027264277596</v>
      </c>
      <c r="L15" s="298">
        <v>450.40605810838656</v>
      </c>
      <c r="M15" s="298">
        <v>445.84116920543431</v>
      </c>
      <c r="N15" s="298">
        <v>440.92772103579898</v>
      </c>
      <c r="O15" s="298">
        <v>482.96890174604818</v>
      </c>
      <c r="P15" s="298">
        <f t="shared" si="0"/>
        <v>5309.4831524827587</v>
      </c>
      <c r="Q15" s="557">
        <f t="shared" si="1"/>
        <v>442.45692937356324</v>
      </c>
    </row>
    <row r="16" spans="2:17" s="9" customFormat="1">
      <c r="B16" s="150">
        <v>6</v>
      </c>
      <c r="C16" s="151" t="s">
        <v>601</v>
      </c>
      <c r="D16" s="298">
        <v>10.719160868210613</v>
      </c>
      <c r="E16" s="298">
        <v>10.411986727498963</v>
      </c>
      <c r="F16" s="298">
        <v>10.390515634706977</v>
      </c>
      <c r="G16" s="298">
        <v>8.4403472509301363</v>
      </c>
      <c r="H16" s="298">
        <v>8.9854102087208112</v>
      </c>
      <c r="I16" s="298">
        <v>8.6763440860215049</v>
      </c>
      <c r="J16" s="298">
        <v>9.735917901938425</v>
      </c>
      <c r="K16" s="298">
        <v>9.1251884746462864</v>
      </c>
      <c r="L16" s="298">
        <v>7.7656707191427978</v>
      </c>
      <c r="M16" s="298">
        <v>7.2119390695759567</v>
      </c>
      <c r="N16" s="298">
        <v>7.5176312803053742</v>
      </c>
      <c r="O16" s="298">
        <v>8.9514206013017876</v>
      </c>
      <c r="P16" s="298">
        <f t="shared" si="0"/>
        <v>107.93153282299966</v>
      </c>
      <c r="Q16" s="557">
        <f t="shared" si="1"/>
        <v>8.9942944019166386</v>
      </c>
    </row>
    <row r="17" spans="2:17" s="9" customFormat="1">
      <c r="B17" s="150">
        <v>7</v>
      </c>
      <c r="C17" s="151" t="s">
        <v>603</v>
      </c>
      <c r="D17" s="298">
        <v>4.9343026274794894</v>
      </c>
      <c r="E17" s="298">
        <v>4.9936955620074661</v>
      </c>
      <c r="F17" s="298">
        <v>5.1760612963346446</v>
      </c>
      <c r="G17" s="298">
        <v>4.5438197602315009</v>
      </c>
      <c r="H17" s="298">
        <v>4.3603223806571609</v>
      </c>
      <c r="I17" s="298">
        <v>4.5067411083540119</v>
      </c>
      <c r="J17" s="298">
        <v>4.3468021146470406</v>
      </c>
      <c r="K17" s="298">
        <v>4.410368687390271</v>
      </c>
      <c r="L17" s="298">
        <v>3.5219039769214917</v>
      </c>
      <c r="M17" s="298">
        <v>3.7428571428571424</v>
      </c>
      <c r="N17" s="298">
        <v>4.0044568245125349</v>
      </c>
      <c r="O17" s="298">
        <v>4.356276474842443</v>
      </c>
      <c r="P17" s="298">
        <f t="shared" si="0"/>
        <v>52.897607956235206</v>
      </c>
      <c r="Q17" s="557">
        <f t="shared" si="1"/>
        <v>4.4081339963529338</v>
      </c>
    </row>
    <row r="18" spans="2:17" s="9" customFormat="1">
      <c r="B18" s="150">
        <v>8</v>
      </c>
      <c r="C18" s="151" t="s">
        <v>605</v>
      </c>
      <c r="D18" s="298">
        <v>5.1904455291307512</v>
      </c>
      <c r="E18" s="298">
        <v>5.1379095810866859</v>
      </c>
      <c r="F18" s="298">
        <v>5.2684199627252015</v>
      </c>
      <c r="G18" s="298">
        <v>4.5233154195948737</v>
      </c>
      <c r="H18" s="298">
        <v>4.2647241165530065</v>
      </c>
      <c r="I18" s="298">
        <v>4.8257237386269649</v>
      </c>
      <c r="J18" s="298">
        <v>4.6524308075049241</v>
      </c>
      <c r="K18" s="298">
        <v>4.1900237529691209</v>
      </c>
      <c r="L18" s="298">
        <v>3.4294663094992788</v>
      </c>
      <c r="M18" s="298">
        <v>3.8088513791683822</v>
      </c>
      <c r="N18" s="298">
        <v>4.132714329928814</v>
      </c>
      <c r="O18" s="298">
        <v>4.4823638805661741</v>
      </c>
      <c r="P18" s="298">
        <f t="shared" si="0"/>
        <v>53.906388807354176</v>
      </c>
      <c r="Q18" s="557">
        <f t="shared" si="1"/>
        <v>4.4921990672795147</v>
      </c>
    </row>
    <row r="19" spans="2:17" s="9" customFormat="1">
      <c r="B19" s="150">
        <v>9</v>
      </c>
      <c r="C19" s="151" t="s">
        <v>607</v>
      </c>
      <c r="D19" s="298">
        <v>4.1412400041541177</v>
      </c>
      <c r="E19" s="298">
        <v>4.335130651182082</v>
      </c>
      <c r="F19" s="298">
        <v>4.0179333195278524</v>
      </c>
      <c r="G19" s="298">
        <v>3.9682513435303846</v>
      </c>
      <c r="H19" s="298">
        <v>4.8410828683612319</v>
      </c>
      <c r="I19" s="298">
        <v>4.831306865177833</v>
      </c>
      <c r="J19" s="298">
        <v>5.3114543381362083</v>
      </c>
      <c r="K19" s="298">
        <v>5.0414954043168443</v>
      </c>
      <c r="L19" s="298">
        <v>5.0826705130846896</v>
      </c>
      <c r="M19" s="298">
        <v>5.1162618361465624</v>
      </c>
      <c r="N19" s="298">
        <v>5.1221293717115444</v>
      </c>
      <c r="O19" s="298">
        <v>5.7831180907118505</v>
      </c>
      <c r="P19" s="298">
        <f t="shared" si="0"/>
        <v>57.592074606041201</v>
      </c>
      <c r="Q19" s="557">
        <f t="shared" si="1"/>
        <v>4.7993395505034337</v>
      </c>
    </row>
    <row r="20" spans="2:17" s="9" customFormat="1">
      <c r="B20" s="150">
        <v>10</v>
      </c>
      <c r="C20" s="151" t="s">
        <v>609</v>
      </c>
      <c r="D20" s="298">
        <v>13.87143005504206</v>
      </c>
      <c r="E20" s="298">
        <v>12.992948983824139</v>
      </c>
      <c r="F20" s="298">
        <v>16.192172292400084</v>
      </c>
      <c r="G20" s="298">
        <v>14.049607275733774</v>
      </c>
      <c r="H20" s="298">
        <v>12.7042777433354</v>
      </c>
      <c r="I20" s="298">
        <v>13.588089330024815</v>
      </c>
      <c r="J20" s="298">
        <v>13.269202860993055</v>
      </c>
      <c r="K20" s="298">
        <v>10.896622947433645</v>
      </c>
      <c r="L20" s="298">
        <v>9.4877395425509992</v>
      </c>
      <c r="M20" s="298">
        <v>9.3215314944421586</v>
      </c>
      <c r="N20" s="298">
        <v>9.892499742081915</v>
      </c>
      <c r="O20" s="298">
        <v>13.514619278851121</v>
      </c>
      <c r="P20" s="298">
        <f t="shared" si="0"/>
        <v>149.78074154671313</v>
      </c>
      <c r="Q20" s="557">
        <f t="shared" si="1"/>
        <v>12.481728462226094</v>
      </c>
    </row>
    <row r="21" spans="2:17" s="9" customFormat="1">
      <c r="B21" s="150">
        <v>11</v>
      </c>
      <c r="C21" s="151" t="s">
        <v>611</v>
      </c>
      <c r="D21" s="298">
        <v>6.8004154117769238</v>
      </c>
      <c r="E21" s="298">
        <v>7.0116963915387807</v>
      </c>
      <c r="F21" s="298">
        <v>6.7377510871816115</v>
      </c>
      <c r="G21" s="298">
        <v>5.1340223232740794</v>
      </c>
      <c r="H21" s="298">
        <v>7.0648894399669349</v>
      </c>
      <c r="I21" s="298">
        <v>7.6514888337468987</v>
      </c>
      <c r="J21" s="298">
        <v>7.6500466466258938</v>
      </c>
      <c r="K21" s="298">
        <v>7.2332954662811106</v>
      </c>
      <c r="L21" s="298">
        <v>5.3083453533896563</v>
      </c>
      <c r="M21" s="298">
        <v>5.8857142857142861</v>
      </c>
      <c r="N21" s="298">
        <v>6.5835964097802533</v>
      </c>
      <c r="O21" s="298">
        <v>8.5407170162206842</v>
      </c>
      <c r="P21" s="298">
        <f t="shared" si="0"/>
        <v>81.601978665497114</v>
      </c>
      <c r="Q21" s="557">
        <f t="shared" si="1"/>
        <v>6.8001648887914259</v>
      </c>
    </row>
    <row r="22" spans="2:17" s="9" customFormat="1">
      <c r="B22" s="150">
        <v>12</v>
      </c>
      <c r="C22" s="151" t="s">
        <v>613</v>
      </c>
      <c r="D22" s="298">
        <v>6.4599439194101151</v>
      </c>
      <c r="E22" s="298">
        <v>6.5409788469514716</v>
      </c>
      <c r="F22" s="298">
        <v>6.3260302340028991</v>
      </c>
      <c r="G22" s="298">
        <v>4.638280281107896</v>
      </c>
      <c r="H22" s="298">
        <v>4.4780739822277331</v>
      </c>
      <c r="I22" s="298">
        <v>4.8595533498759309</v>
      </c>
      <c r="J22" s="298">
        <v>0</v>
      </c>
      <c r="K22" s="298">
        <v>4.5214086543426619</v>
      </c>
      <c r="L22" s="298">
        <v>3.0245209148980012</v>
      </c>
      <c r="M22" s="298">
        <v>3.5469328941951419</v>
      </c>
      <c r="N22" s="298">
        <v>4.1576395336841019</v>
      </c>
      <c r="O22" s="298">
        <v>5.1851224300030996</v>
      </c>
      <c r="P22" s="298">
        <f t="shared" si="0"/>
        <v>53.738485040699054</v>
      </c>
      <c r="Q22" s="557">
        <f t="shared" si="1"/>
        <v>4.4782070867249208</v>
      </c>
    </row>
    <row r="23" spans="2:17" s="9" customFormat="1">
      <c r="B23" s="150">
        <v>13</v>
      </c>
      <c r="C23" s="151" t="s">
        <v>615</v>
      </c>
      <c r="D23" s="298">
        <v>1.1465365043098974</v>
      </c>
      <c r="E23" s="298">
        <v>1.1945250933222729</v>
      </c>
      <c r="F23" s="298">
        <v>1.1472354524746324</v>
      </c>
      <c r="G23" s="298">
        <v>0.99214551467548573</v>
      </c>
      <c r="H23" s="298">
        <v>1.2605910312047943</v>
      </c>
      <c r="I23" s="298">
        <v>1.3895781637717124</v>
      </c>
      <c r="J23" s="298">
        <v>0.95366435161190011</v>
      </c>
      <c r="K23" s="298">
        <v>0.76009501187648454</v>
      </c>
      <c r="L23" s="298">
        <v>0.76653616319802187</v>
      </c>
      <c r="M23" s="298">
        <v>0.62165500205846025</v>
      </c>
      <c r="N23" s="298">
        <v>0.69328381306097187</v>
      </c>
      <c r="O23" s="298">
        <v>0.89265419981403038</v>
      </c>
      <c r="P23" s="298">
        <f t="shared" si="0"/>
        <v>11.818500301378666</v>
      </c>
      <c r="Q23" s="557">
        <f t="shared" si="1"/>
        <v>0.98487502511488889</v>
      </c>
    </row>
    <row r="24" spans="2:17" s="9" customFormat="1">
      <c r="B24" s="150">
        <v>14</v>
      </c>
      <c r="C24" s="151" t="s">
        <v>617</v>
      </c>
      <c r="D24" s="298">
        <v>0.59952227645653755</v>
      </c>
      <c r="E24" s="298">
        <v>0.60929075072583994</v>
      </c>
      <c r="F24" s="298">
        <v>0.74040173949057786</v>
      </c>
      <c r="G24" s="298">
        <v>0.54882182720132278</v>
      </c>
      <c r="H24" s="298">
        <v>0.48861334986567473</v>
      </c>
      <c r="I24" s="298">
        <v>0.47105045492142267</v>
      </c>
      <c r="J24" s="298">
        <v>0.56315953146055764</v>
      </c>
      <c r="K24" s="298">
        <v>0.47258081173190125</v>
      </c>
      <c r="L24" s="298">
        <v>0.41986400164846488</v>
      </c>
      <c r="M24" s="298">
        <v>0.35837793330588719</v>
      </c>
      <c r="N24" s="298">
        <v>0.47040132054059625</v>
      </c>
      <c r="O24" s="298">
        <v>0.66110135344560395</v>
      </c>
      <c r="P24" s="298">
        <f t="shared" si="0"/>
        <v>6.403185350794387</v>
      </c>
      <c r="Q24" s="557">
        <f t="shared" si="1"/>
        <v>0.53359877923286558</v>
      </c>
    </row>
    <row r="25" spans="2:17" s="9" customFormat="1">
      <c r="B25" s="150">
        <v>15</v>
      </c>
      <c r="C25" s="151" t="s">
        <v>619</v>
      </c>
      <c r="D25" s="298">
        <v>0</v>
      </c>
      <c r="E25" s="298">
        <v>0</v>
      </c>
      <c r="F25" s="298">
        <v>0</v>
      </c>
      <c r="G25" s="298">
        <v>0</v>
      </c>
      <c r="H25" s="298">
        <v>0</v>
      </c>
      <c r="I25" s="298">
        <v>0</v>
      </c>
      <c r="J25" s="298">
        <v>0</v>
      </c>
      <c r="K25" s="298">
        <v>28.83969844056594</v>
      </c>
      <c r="L25" s="298">
        <v>20.564764063465894</v>
      </c>
      <c r="M25" s="298">
        <v>23.48793742280774</v>
      </c>
      <c r="N25" s="298">
        <v>25.930217682863923</v>
      </c>
      <c r="O25" s="298">
        <v>28.627874780452526</v>
      </c>
      <c r="P25" s="298">
        <f t="shared" si="0"/>
        <v>127.45049239015603</v>
      </c>
      <c r="Q25" s="557">
        <f t="shared" si="1"/>
        <v>10.620874365846335</v>
      </c>
    </row>
    <row r="26" spans="2:17" s="9" customFormat="1">
      <c r="B26" s="150">
        <v>16</v>
      </c>
      <c r="C26" s="151" t="s">
        <v>620</v>
      </c>
      <c r="D26" s="298">
        <v>0</v>
      </c>
      <c r="E26" s="298">
        <v>0</v>
      </c>
      <c r="F26" s="298">
        <v>0</v>
      </c>
      <c r="G26" s="298">
        <v>0</v>
      </c>
      <c r="H26" s="298">
        <v>0</v>
      </c>
      <c r="I26" s="298">
        <v>0</v>
      </c>
      <c r="J26" s="298">
        <v>0</v>
      </c>
      <c r="K26" s="298">
        <v>0</v>
      </c>
      <c r="L26" s="298">
        <v>0</v>
      </c>
      <c r="M26" s="298">
        <v>0</v>
      </c>
      <c r="N26" s="298">
        <v>0</v>
      </c>
      <c r="O26" s="298">
        <v>0</v>
      </c>
      <c r="P26" s="298">
        <f t="shared" si="0"/>
        <v>0</v>
      </c>
      <c r="Q26" s="557">
        <f t="shared" si="1"/>
        <v>0</v>
      </c>
    </row>
    <row r="27" spans="2:17" s="9" customFormat="1">
      <c r="B27" s="150">
        <v>17</v>
      </c>
      <c r="C27" s="151" t="s">
        <v>621</v>
      </c>
      <c r="D27" s="298">
        <v>0</v>
      </c>
      <c r="E27" s="298">
        <v>0</v>
      </c>
      <c r="F27" s="298">
        <v>0</v>
      </c>
      <c r="G27" s="298">
        <v>0</v>
      </c>
      <c r="H27" s="298">
        <v>0</v>
      </c>
      <c r="I27" s="298">
        <v>0</v>
      </c>
      <c r="J27" s="298">
        <v>0</v>
      </c>
      <c r="K27" s="298">
        <v>0</v>
      </c>
      <c r="L27" s="298">
        <v>0</v>
      </c>
      <c r="M27" s="298">
        <v>0</v>
      </c>
      <c r="N27" s="298">
        <v>0</v>
      </c>
      <c r="O27" s="298">
        <v>0</v>
      </c>
      <c r="P27" s="298">
        <f t="shared" si="0"/>
        <v>0</v>
      </c>
      <c r="Q27" s="557">
        <f t="shared" si="1"/>
        <v>0</v>
      </c>
    </row>
    <row r="28" spans="2:17" s="9" customFormat="1">
      <c r="B28" s="150">
        <v>18</v>
      </c>
      <c r="C28" s="151" t="s">
        <v>673</v>
      </c>
      <c r="D28" s="298">
        <v>0</v>
      </c>
      <c r="E28" s="298">
        <v>0</v>
      </c>
      <c r="F28" s="298">
        <v>0</v>
      </c>
      <c r="G28" s="298">
        <v>0</v>
      </c>
      <c r="H28" s="298">
        <v>0</v>
      </c>
      <c r="I28" s="298">
        <v>0</v>
      </c>
      <c r="J28" s="298">
        <v>0</v>
      </c>
      <c r="K28" s="298">
        <v>0</v>
      </c>
      <c r="L28" s="298">
        <v>0</v>
      </c>
      <c r="M28" s="298">
        <v>0</v>
      </c>
      <c r="N28" s="298">
        <v>0</v>
      </c>
      <c r="O28" s="298">
        <v>0</v>
      </c>
      <c r="P28" s="298">
        <f t="shared" si="0"/>
        <v>0</v>
      </c>
      <c r="Q28" s="557">
        <f t="shared" si="1"/>
        <v>0</v>
      </c>
    </row>
    <row r="29" spans="2:17" s="9" customFormat="1">
      <c r="B29" s="150">
        <v>19</v>
      </c>
      <c r="C29" s="151" t="s">
        <v>674</v>
      </c>
      <c r="D29" s="298">
        <v>0</v>
      </c>
      <c r="E29" s="298">
        <v>0</v>
      </c>
      <c r="F29" s="298">
        <v>0</v>
      </c>
      <c r="G29" s="298">
        <v>0</v>
      </c>
      <c r="H29" s="298">
        <v>0</v>
      </c>
      <c r="I29" s="298">
        <v>0</v>
      </c>
      <c r="J29" s="298">
        <v>0</v>
      </c>
      <c r="K29" s="298">
        <v>0</v>
      </c>
      <c r="L29" s="298">
        <v>0</v>
      </c>
      <c r="M29" s="298">
        <v>0</v>
      </c>
      <c r="N29" s="298">
        <v>0</v>
      </c>
      <c r="O29" s="298">
        <v>0</v>
      </c>
      <c r="P29" s="298">
        <f t="shared" si="0"/>
        <v>0</v>
      </c>
      <c r="Q29" s="557">
        <f t="shared" si="1"/>
        <v>0</v>
      </c>
    </row>
    <row r="30" spans="2:17" s="9" customFormat="1">
      <c r="B30" s="150"/>
      <c r="C30" s="299" t="s">
        <v>219</v>
      </c>
      <c r="D30" s="300">
        <f>SUM(D11:D29)</f>
        <v>27894.156568698727</v>
      </c>
      <c r="E30" s="300">
        <f t="shared" ref="E30:P30" si="2">SUM(E11:E29)</f>
        <v>27135.546204894239</v>
      </c>
      <c r="F30" s="300">
        <f t="shared" si="2"/>
        <v>27704.818016152411</v>
      </c>
      <c r="G30" s="300">
        <f t="shared" si="2"/>
        <v>23687.993799090527</v>
      </c>
      <c r="H30" s="300">
        <f t="shared" si="2"/>
        <v>26161.386071502373</v>
      </c>
      <c r="I30" s="300">
        <f t="shared" si="2"/>
        <v>26610.131885856084</v>
      </c>
      <c r="J30" s="300">
        <f t="shared" si="2"/>
        <v>27654.018741577689</v>
      </c>
      <c r="K30" s="300">
        <f t="shared" si="2"/>
        <v>27462.658845399154</v>
      </c>
      <c r="L30" s="300">
        <f t="shared" si="2"/>
        <v>26474.254440552239</v>
      </c>
      <c r="M30" s="300">
        <f t="shared" si="2"/>
        <v>27045.001605599016</v>
      </c>
      <c r="N30" s="300">
        <f t="shared" si="2"/>
        <v>27495.835468895075</v>
      </c>
      <c r="O30" s="300">
        <f t="shared" si="2"/>
        <v>27832.758590763515</v>
      </c>
      <c r="P30" s="300">
        <f t="shared" si="2"/>
        <v>323158.5602389811</v>
      </c>
      <c r="Q30" s="300">
        <f>SUM(Q11:Q25)</f>
        <v>26929.880019915083</v>
      </c>
    </row>
    <row r="31" spans="2:17" s="9" customFormat="1"/>
    <row r="32" spans="2:17" s="9" customFormat="1">
      <c r="B32" s="8" t="s">
        <v>675</v>
      </c>
    </row>
    <row r="33" spans="2:17" s="9" customFormat="1">
      <c r="P33" s="7" t="s">
        <v>672</v>
      </c>
    </row>
    <row r="34" spans="2:17">
      <c r="B34" s="149" t="s">
        <v>2</v>
      </c>
      <c r="C34" s="140" t="s">
        <v>53</v>
      </c>
      <c r="D34" s="141" t="s">
        <v>577</v>
      </c>
      <c r="E34" s="141" t="s">
        <v>578</v>
      </c>
      <c r="F34" s="141" t="s">
        <v>579</v>
      </c>
      <c r="G34" s="141" t="s">
        <v>580</v>
      </c>
      <c r="H34" s="141" t="s">
        <v>581</v>
      </c>
      <c r="I34" s="141" t="s">
        <v>582</v>
      </c>
      <c r="J34" s="141" t="s">
        <v>583</v>
      </c>
      <c r="K34" s="141" t="s">
        <v>584</v>
      </c>
      <c r="L34" s="141" t="s">
        <v>585</v>
      </c>
      <c r="M34" s="141" t="s">
        <v>586</v>
      </c>
      <c r="N34" s="141" t="s">
        <v>587</v>
      </c>
      <c r="O34" s="141" t="s">
        <v>588</v>
      </c>
      <c r="P34" s="141" t="s">
        <v>219</v>
      </c>
      <c r="Q34" s="263" t="s">
        <v>648</v>
      </c>
    </row>
    <row r="35" spans="2:17" s="9" customFormat="1">
      <c r="B35" s="150">
        <v>1</v>
      </c>
      <c r="C35" s="151" t="s">
        <v>591</v>
      </c>
      <c r="D35" s="298">
        <v>23777.580184858241</v>
      </c>
      <c r="E35" s="298">
        <v>23123.656076316882</v>
      </c>
      <c r="F35" s="298">
        <v>24368.590267136053</v>
      </c>
      <c r="G35" s="298">
        <v>20120.247540305911</v>
      </c>
      <c r="H35" s="298">
        <v>22853.484232279399</v>
      </c>
      <c r="I35" s="298">
        <v>23269.12758478081</v>
      </c>
      <c r="J35" s="298">
        <v>23833.656722297088</v>
      </c>
      <c r="K35" s="298">
        <v>23848.318868119382</v>
      </c>
      <c r="L35" s="298">
        <v>23228.659798063054</v>
      </c>
      <c r="M35" s="298">
        <v>23925.065047344586</v>
      </c>
      <c r="N35" s="298">
        <v>24139.635406994734</v>
      </c>
      <c r="O35" s="298">
        <v>23955.496518235355</v>
      </c>
      <c r="P35" s="298">
        <f>SUM(D35:O35)</f>
        <v>280443.51824673149</v>
      </c>
      <c r="Q35" s="557">
        <f>IFERROR(AVERAGE(D35:O35),0)</f>
        <v>23370.293187227624</v>
      </c>
    </row>
    <row r="36" spans="2:17" s="9" customFormat="1">
      <c r="B36" s="150">
        <v>2</v>
      </c>
      <c r="C36" s="151" t="s">
        <v>593</v>
      </c>
      <c r="D36" s="298">
        <v>1039.7046006854296</v>
      </c>
      <c r="E36" s="298">
        <v>1021.3717959352965</v>
      </c>
      <c r="F36" s="298">
        <v>982.66639055705116</v>
      </c>
      <c r="G36" s="298">
        <v>893.60421661843736</v>
      </c>
      <c r="H36" s="298">
        <v>837.20074395536267</v>
      </c>
      <c r="I36" s="298">
        <v>888.58358147229114</v>
      </c>
      <c r="J36" s="298">
        <v>953.03107701876229</v>
      </c>
      <c r="K36" s="298">
        <v>889.09147991324994</v>
      </c>
      <c r="L36" s="298">
        <v>826.87063671955491</v>
      </c>
      <c r="M36" s="298">
        <v>852.9809798270893</v>
      </c>
      <c r="N36" s="298">
        <v>819.84500154750845</v>
      </c>
      <c r="O36" s="298">
        <v>898.53612976547163</v>
      </c>
      <c r="P36" s="298">
        <f t="shared" ref="P36:P53" si="3">SUM(D36:O36)</f>
        <v>10903.486634015504</v>
      </c>
      <c r="Q36" s="557">
        <f t="shared" ref="Q36:Q53" si="4">IFERROR(AVERAGE(D36:O36),0)</f>
        <v>908.62388616795863</v>
      </c>
    </row>
    <row r="37" spans="2:17" s="9" customFormat="1">
      <c r="B37" s="150">
        <v>3</v>
      </c>
      <c r="C37" s="151" t="s">
        <v>595</v>
      </c>
      <c r="D37" s="298">
        <v>1826.1591027105619</v>
      </c>
      <c r="E37" s="298">
        <v>1895.030817088345</v>
      </c>
      <c r="F37" s="298">
        <v>1959.5916752950923</v>
      </c>
      <c r="G37" s="298">
        <v>1590.5974369574203</v>
      </c>
      <c r="H37" s="298">
        <v>1666.4375284149619</v>
      </c>
      <c r="I37" s="298">
        <v>1654.2988420181969</v>
      </c>
      <c r="J37" s="298">
        <v>1865.9832486783455</v>
      </c>
      <c r="K37" s="298">
        <v>1632.6191882680987</v>
      </c>
      <c r="L37" s="298">
        <v>1481.1166701009686</v>
      </c>
      <c r="M37" s="298">
        <v>1500.4974475092629</v>
      </c>
      <c r="N37" s="298">
        <v>1522.1389456308677</v>
      </c>
      <c r="O37" s="298">
        <v>1634.8151668560802</v>
      </c>
      <c r="P37" s="298">
        <f t="shared" si="3"/>
        <v>20229.2860695282</v>
      </c>
      <c r="Q37" s="557">
        <f t="shared" si="4"/>
        <v>1685.7738391273499</v>
      </c>
    </row>
    <row r="38" spans="2:17" s="9" customFormat="1">
      <c r="B38" s="150">
        <v>4</v>
      </c>
      <c r="C38" s="151" t="s">
        <v>597</v>
      </c>
      <c r="D38" s="298">
        <v>903.2234707653962</v>
      </c>
      <c r="E38" s="298">
        <v>947.67917876399827</v>
      </c>
      <c r="F38" s="298">
        <v>981.39324911990059</v>
      </c>
      <c r="G38" s="298">
        <v>813.41252583712276</v>
      </c>
      <c r="H38" s="298">
        <v>812.33477991320524</v>
      </c>
      <c r="I38" s="298">
        <v>828.43296112489668</v>
      </c>
      <c r="J38" s="298">
        <v>915.45085518814142</v>
      </c>
      <c r="K38" s="298">
        <v>838.60530827222965</v>
      </c>
      <c r="L38" s="298">
        <v>761.62719967030705</v>
      </c>
      <c r="M38" s="298">
        <v>737.62622478386163</v>
      </c>
      <c r="N38" s="298">
        <v>758.47126792530685</v>
      </c>
      <c r="O38" s="298">
        <v>810.57915073871277</v>
      </c>
      <c r="P38" s="298">
        <f t="shared" si="3"/>
        <v>10108.83617210308</v>
      </c>
      <c r="Q38" s="557">
        <f t="shared" si="4"/>
        <v>842.40301434192327</v>
      </c>
    </row>
    <row r="39" spans="2:17" s="9" customFormat="1">
      <c r="B39" s="150">
        <v>5</v>
      </c>
      <c r="C39" s="151" t="s">
        <v>599</v>
      </c>
      <c r="D39" s="298">
        <v>512.71238965624673</v>
      </c>
      <c r="E39" s="298">
        <v>505.71621733720445</v>
      </c>
      <c r="F39" s="298">
        <v>508.91604887140198</v>
      </c>
      <c r="G39" s="298">
        <v>470.78412567176514</v>
      </c>
      <c r="H39" s="298">
        <v>503.25220086794792</v>
      </c>
      <c r="I39" s="298">
        <v>509.0507030603805</v>
      </c>
      <c r="J39" s="298">
        <v>503.21086348087488</v>
      </c>
      <c r="K39" s="298">
        <v>506.25058349685014</v>
      </c>
      <c r="L39" s="298">
        <v>520.76785493509169</v>
      </c>
      <c r="M39" s="298">
        <v>522.60098806093038</v>
      </c>
      <c r="N39" s="298">
        <v>532.38374084390796</v>
      </c>
      <c r="O39" s="298">
        <v>525.96945965492307</v>
      </c>
      <c r="P39" s="298">
        <f t="shared" si="3"/>
        <v>6121.6151759375252</v>
      </c>
      <c r="Q39" s="557">
        <f t="shared" si="4"/>
        <v>510.13459799479375</v>
      </c>
    </row>
    <row r="40" spans="2:17" s="9" customFormat="1">
      <c r="B40" s="150">
        <v>6</v>
      </c>
      <c r="C40" s="151" t="s">
        <v>601</v>
      </c>
      <c r="D40" s="298">
        <v>11.524602762488316</v>
      </c>
      <c r="E40" s="298">
        <v>11.274408958938199</v>
      </c>
      <c r="F40" s="298">
        <v>12.04564091944502</v>
      </c>
      <c r="G40" s="298">
        <v>10.067259198015709</v>
      </c>
      <c r="H40" s="298">
        <v>9.9167596610870028</v>
      </c>
      <c r="I40" s="298">
        <v>10.163358147229115</v>
      </c>
      <c r="J40" s="298">
        <v>10.823426972115683</v>
      </c>
      <c r="K40" s="298">
        <v>10.190684705153361</v>
      </c>
      <c r="L40" s="298">
        <v>9.3770451267257364</v>
      </c>
      <c r="M40" s="298">
        <v>8.8802387813915189</v>
      </c>
      <c r="N40" s="298">
        <v>9.0090580831527909</v>
      </c>
      <c r="O40" s="298">
        <v>9.8894100630230408</v>
      </c>
      <c r="P40" s="298">
        <f t="shared" si="3"/>
        <v>123.1618933787655</v>
      </c>
      <c r="Q40" s="557">
        <f t="shared" si="4"/>
        <v>10.263491114897125</v>
      </c>
    </row>
    <row r="41" spans="2:17" s="9" customFormat="1">
      <c r="B41" s="150">
        <v>7</v>
      </c>
      <c r="C41" s="151" t="s">
        <v>603</v>
      </c>
      <c r="D41" s="298">
        <v>5.3842351230657384</v>
      </c>
      <c r="E41" s="298">
        <v>5.7632517627540443</v>
      </c>
      <c r="F41" s="298">
        <v>5.5428867260302344</v>
      </c>
      <c r="G41" s="298">
        <v>4.9794956593633728</v>
      </c>
      <c r="H41" s="298">
        <v>4.8583591651167604</v>
      </c>
      <c r="I41" s="298">
        <v>5.2477667493796529</v>
      </c>
      <c r="J41" s="298">
        <v>5.2837980719394624</v>
      </c>
      <c r="K41" s="298">
        <v>5.0643808736961677</v>
      </c>
      <c r="L41" s="298">
        <v>4.7375231815371928</v>
      </c>
      <c r="M41" s="298">
        <v>4.6941539728283237</v>
      </c>
      <c r="N41" s="298">
        <v>4.7838233776952439</v>
      </c>
      <c r="O41" s="298">
        <v>4.9576195888004957</v>
      </c>
      <c r="P41" s="298">
        <f t="shared" si="3"/>
        <v>61.29729425220669</v>
      </c>
      <c r="Q41" s="557">
        <f t="shared" si="4"/>
        <v>5.1081078543505578</v>
      </c>
    </row>
    <row r="42" spans="2:17" s="9" customFormat="1">
      <c r="B42" s="150">
        <v>8</v>
      </c>
      <c r="C42" s="151" t="s">
        <v>605</v>
      </c>
      <c r="D42" s="298">
        <v>5.2193581888046525</v>
      </c>
      <c r="E42" s="298">
        <v>5.3737868104520947</v>
      </c>
      <c r="F42" s="298">
        <v>5.7037896044729761</v>
      </c>
      <c r="G42" s="298">
        <v>5.7080611823067375</v>
      </c>
      <c r="H42" s="298">
        <v>5.5106426947716471</v>
      </c>
      <c r="I42" s="298">
        <v>5.5319272125723744</v>
      </c>
      <c r="J42" s="298">
        <v>5.4573649839328287</v>
      </c>
      <c r="K42" s="298">
        <v>4.875513787049468</v>
      </c>
      <c r="L42" s="298">
        <v>4.6853492684937148</v>
      </c>
      <c r="M42" s="298">
        <v>4.577727459860025</v>
      </c>
      <c r="N42" s="298">
        <v>4.746889507892293</v>
      </c>
      <c r="O42" s="298">
        <v>4.7550366773427006</v>
      </c>
      <c r="P42" s="298">
        <f t="shared" si="3"/>
        <v>62.145447377951513</v>
      </c>
      <c r="Q42" s="557">
        <f t="shared" si="4"/>
        <v>5.1787872814959597</v>
      </c>
    </row>
    <row r="43" spans="2:17" s="9" customFormat="1">
      <c r="B43" s="150">
        <v>9</v>
      </c>
      <c r="C43" s="151" t="s">
        <v>607</v>
      </c>
      <c r="D43" s="298">
        <v>4.4320697891785237</v>
      </c>
      <c r="E43" s="298">
        <v>4.6357527996681878</v>
      </c>
      <c r="F43" s="298">
        <v>4.6514392213708842</v>
      </c>
      <c r="G43" s="298">
        <v>4.6424555601488224</v>
      </c>
      <c r="H43" s="298">
        <v>5.1102707170903079</v>
      </c>
      <c r="I43" s="298">
        <v>5.1658395368072796</v>
      </c>
      <c r="J43" s="298">
        <v>5.6191562143671607</v>
      </c>
      <c r="K43" s="298">
        <v>5.5874005989879167</v>
      </c>
      <c r="L43" s="298">
        <v>5.3823614259221104</v>
      </c>
      <c r="M43" s="298">
        <v>5.5225607245780148</v>
      </c>
      <c r="N43" s="298">
        <v>5.7515320334261837</v>
      </c>
      <c r="O43" s="298">
        <v>6.1236491373075737</v>
      </c>
      <c r="P43" s="298">
        <f t="shared" si="3"/>
        <v>62.624487758852972</v>
      </c>
      <c r="Q43" s="557">
        <f t="shared" si="4"/>
        <v>5.2187073132377479</v>
      </c>
    </row>
    <row r="44" spans="2:17" s="9" customFormat="1">
      <c r="B44" s="150">
        <v>10</v>
      </c>
      <c r="C44" s="151" t="s">
        <v>609</v>
      </c>
      <c r="D44" s="298">
        <v>15.015474088690414</v>
      </c>
      <c r="E44" s="298">
        <v>16.330153463293239</v>
      </c>
      <c r="F44" s="298">
        <v>16.646096500310623</v>
      </c>
      <c r="G44" s="298">
        <v>16.021496486151303</v>
      </c>
      <c r="H44" s="298">
        <v>14.832816697664807</v>
      </c>
      <c r="I44" s="298">
        <v>15.32340777502068</v>
      </c>
      <c r="J44" s="298">
        <v>14.911164092463979</v>
      </c>
      <c r="K44" s="298">
        <v>13.387586491789735</v>
      </c>
      <c r="L44" s="298">
        <v>14.078714197403666</v>
      </c>
      <c r="M44" s="298">
        <v>11.991766158913132</v>
      </c>
      <c r="N44" s="298">
        <v>14.028267822139687</v>
      </c>
      <c r="O44" s="298">
        <v>15.080896786858148</v>
      </c>
      <c r="P44" s="298">
        <f t="shared" si="3"/>
        <v>177.64784056069942</v>
      </c>
      <c r="Q44" s="557">
        <f t="shared" si="4"/>
        <v>14.803986713391618</v>
      </c>
    </row>
    <row r="45" spans="2:17" s="9" customFormat="1">
      <c r="B45" s="150">
        <v>11</v>
      </c>
      <c r="C45" s="151" t="s">
        <v>611</v>
      </c>
      <c r="D45" s="298">
        <v>7.5097310208744421</v>
      </c>
      <c r="E45" s="298">
        <v>10.552882621318954</v>
      </c>
      <c r="F45" s="298">
        <v>10.149140608821702</v>
      </c>
      <c r="G45" s="298">
        <v>9.545431996692848</v>
      </c>
      <c r="H45" s="298">
        <v>8.4360405042364128</v>
      </c>
      <c r="I45" s="298">
        <v>8.4817617866004955</v>
      </c>
      <c r="J45" s="298">
        <v>9.2354514356794866</v>
      </c>
      <c r="K45" s="298">
        <v>8.0853041412785291</v>
      </c>
      <c r="L45" s="298">
        <v>7.6973830620234898</v>
      </c>
      <c r="M45" s="298">
        <v>7.3023466447097576</v>
      </c>
      <c r="N45" s="298">
        <v>8.737109254100897</v>
      </c>
      <c r="O45" s="298">
        <v>10.072362847401592</v>
      </c>
      <c r="P45" s="298">
        <f t="shared" si="3"/>
        <v>105.80494592373861</v>
      </c>
      <c r="Q45" s="557">
        <f t="shared" si="4"/>
        <v>8.8170788269782179</v>
      </c>
    </row>
    <row r="46" spans="2:17" s="9" customFormat="1">
      <c r="B46" s="150">
        <v>12</v>
      </c>
      <c r="C46" s="151" t="s">
        <v>613</v>
      </c>
      <c r="D46" s="298">
        <v>6.7553432339806836</v>
      </c>
      <c r="E46" s="298">
        <v>8.3837826627955199</v>
      </c>
      <c r="F46" s="298">
        <v>6.6402153655001035</v>
      </c>
      <c r="G46" s="298">
        <v>5.7550640760644898</v>
      </c>
      <c r="H46" s="298">
        <v>5.6445959909072121</v>
      </c>
      <c r="I46" s="298">
        <v>9.5859801488833742</v>
      </c>
      <c r="J46" s="298">
        <v>8.4044366124183689</v>
      </c>
      <c r="K46" s="298">
        <v>8.4778271196943091</v>
      </c>
      <c r="L46" s="298">
        <v>5.0047393364928903</v>
      </c>
      <c r="M46" s="298">
        <v>4.5303005351996708</v>
      </c>
      <c r="N46" s="298">
        <v>5.0744248426699681</v>
      </c>
      <c r="O46" s="298">
        <v>5.7304266969728275</v>
      </c>
      <c r="P46" s="298">
        <f t="shared" si="3"/>
        <v>79.987136621579424</v>
      </c>
      <c r="Q46" s="557">
        <f t="shared" si="4"/>
        <v>6.665594718464952</v>
      </c>
    </row>
    <row r="47" spans="2:17" s="9" customFormat="1">
      <c r="B47" s="150">
        <v>13</v>
      </c>
      <c r="C47" s="151" t="s">
        <v>615</v>
      </c>
      <c r="D47" s="298">
        <v>1.2628518018485824</v>
      </c>
      <c r="E47" s="298">
        <v>1.2774782248029863</v>
      </c>
      <c r="F47" s="298">
        <v>1.3957341064402569</v>
      </c>
      <c r="G47" s="298">
        <v>1.3311285655229435</v>
      </c>
      <c r="H47" s="298">
        <v>1.3432527381690433</v>
      </c>
      <c r="I47" s="298">
        <v>1.4598842018196856</v>
      </c>
      <c r="J47" s="298">
        <v>1.3185446252721054</v>
      </c>
      <c r="K47" s="298">
        <v>0.98729732520912927</v>
      </c>
      <c r="L47" s="298">
        <v>1.030290541932825</v>
      </c>
      <c r="M47" s="298">
        <v>1.020996294771511</v>
      </c>
      <c r="N47" s="298">
        <v>1.1554730217682865</v>
      </c>
      <c r="O47" s="298">
        <v>1.264593449736543</v>
      </c>
      <c r="P47" s="298">
        <f t="shared" si="3"/>
        <v>14.847524897293896</v>
      </c>
      <c r="Q47" s="557">
        <f t="shared" si="4"/>
        <v>1.237293741441158</v>
      </c>
    </row>
    <row r="48" spans="2:17" s="9" customFormat="1">
      <c r="B48" s="150">
        <v>14</v>
      </c>
      <c r="C48" s="151" t="s">
        <v>617</v>
      </c>
      <c r="D48" s="298">
        <v>0.762696022432236</v>
      </c>
      <c r="E48" s="298">
        <v>0.82807963500622139</v>
      </c>
      <c r="F48" s="298">
        <v>0.8229032926071651</v>
      </c>
      <c r="G48" s="298">
        <v>0.65795783381562623</v>
      </c>
      <c r="H48" s="298">
        <v>0.63682579045257282</v>
      </c>
      <c r="I48" s="298">
        <v>0.69722911497105045</v>
      </c>
      <c r="J48" s="298">
        <v>0.71897999378044986</v>
      </c>
      <c r="K48" s="298">
        <v>0.62117112465145097</v>
      </c>
      <c r="L48" s="298">
        <v>0.64253039357098696</v>
      </c>
      <c r="M48" s="298">
        <v>0.65961300946891721</v>
      </c>
      <c r="N48" s="298">
        <v>0.61970494171051271</v>
      </c>
      <c r="O48" s="298">
        <v>0.67874780452526084</v>
      </c>
      <c r="P48" s="298">
        <f t="shared" si="3"/>
        <v>8.3464389569924506</v>
      </c>
      <c r="Q48" s="557">
        <f t="shared" si="4"/>
        <v>0.69553657974937089</v>
      </c>
    </row>
    <row r="49" spans="2:17" s="9" customFormat="1">
      <c r="B49" s="150">
        <v>15</v>
      </c>
      <c r="C49" s="151" t="s">
        <v>619</v>
      </c>
      <c r="D49" s="298">
        <v>0</v>
      </c>
      <c r="E49" s="298">
        <v>0</v>
      </c>
      <c r="F49" s="298">
        <v>0</v>
      </c>
      <c r="G49" s="298">
        <v>0</v>
      </c>
      <c r="H49" s="298">
        <v>0</v>
      </c>
      <c r="I49" s="298">
        <v>0</v>
      </c>
      <c r="J49" s="298">
        <v>0</v>
      </c>
      <c r="K49" s="298">
        <v>30.15172983579469</v>
      </c>
      <c r="L49" s="298">
        <v>27.53801772099732</v>
      </c>
      <c r="M49" s="298">
        <v>26.593371757925073</v>
      </c>
      <c r="N49" s="298">
        <v>27.408150211492828</v>
      </c>
      <c r="O49" s="298">
        <v>30.152991011468128</v>
      </c>
      <c r="P49" s="298">
        <f t="shared" si="3"/>
        <v>141.84426053767803</v>
      </c>
      <c r="Q49" s="557">
        <f t="shared" si="4"/>
        <v>11.820355044806503</v>
      </c>
    </row>
    <row r="50" spans="2:17" s="9" customFormat="1">
      <c r="B50" s="150">
        <v>16</v>
      </c>
      <c r="C50" s="151" t="s">
        <v>620</v>
      </c>
      <c r="D50" s="298">
        <v>0</v>
      </c>
      <c r="E50" s="298">
        <v>0</v>
      </c>
      <c r="F50" s="298">
        <v>0</v>
      </c>
      <c r="G50" s="298">
        <v>0</v>
      </c>
      <c r="H50" s="298">
        <v>0</v>
      </c>
      <c r="I50" s="298">
        <v>0</v>
      </c>
      <c r="J50" s="298">
        <v>0</v>
      </c>
      <c r="K50" s="298">
        <v>0</v>
      </c>
      <c r="L50" s="298">
        <v>0</v>
      </c>
      <c r="M50" s="298">
        <v>0</v>
      </c>
      <c r="N50" s="298">
        <v>0</v>
      </c>
      <c r="O50" s="298">
        <v>0</v>
      </c>
      <c r="P50" s="298">
        <f t="shared" si="3"/>
        <v>0</v>
      </c>
      <c r="Q50" s="557">
        <f t="shared" si="4"/>
        <v>0</v>
      </c>
    </row>
    <row r="51" spans="2:17" s="9" customFormat="1">
      <c r="B51" s="150">
        <v>17</v>
      </c>
      <c r="C51" s="151" t="s">
        <v>621</v>
      </c>
      <c r="D51" s="298">
        <v>0</v>
      </c>
      <c r="E51" s="298">
        <v>0</v>
      </c>
      <c r="F51" s="298">
        <v>0</v>
      </c>
      <c r="G51" s="298">
        <v>0</v>
      </c>
      <c r="H51" s="298">
        <v>0</v>
      </c>
      <c r="I51" s="298">
        <v>0</v>
      </c>
      <c r="J51" s="298">
        <v>0</v>
      </c>
      <c r="K51" s="298">
        <v>0</v>
      </c>
      <c r="L51" s="298">
        <v>0</v>
      </c>
      <c r="M51" s="298">
        <v>0</v>
      </c>
      <c r="N51" s="298">
        <v>0</v>
      </c>
      <c r="O51" s="298">
        <v>0</v>
      </c>
      <c r="P51" s="298">
        <f t="shared" si="3"/>
        <v>0</v>
      </c>
      <c r="Q51" s="557">
        <f t="shared" si="4"/>
        <v>0</v>
      </c>
    </row>
    <row r="52" spans="2:17" s="9" customFormat="1">
      <c r="B52" s="150">
        <v>18</v>
      </c>
      <c r="C52" s="151" t="s">
        <v>673</v>
      </c>
      <c r="D52" s="298">
        <v>0</v>
      </c>
      <c r="E52" s="298">
        <v>0</v>
      </c>
      <c r="F52" s="298">
        <v>0</v>
      </c>
      <c r="G52" s="298">
        <v>0</v>
      </c>
      <c r="H52" s="298">
        <v>0</v>
      </c>
      <c r="I52" s="298">
        <v>0</v>
      </c>
      <c r="J52" s="298">
        <v>0</v>
      </c>
      <c r="K52" s="298">
        <v>0</v>
      </c>
      <c r="L52" s="298">
        <v>0</v>
      </c>
      <c r="M52" s="298">
        <v>0</v>
      </c>
      <c r="N52" s="298">
        <v>0</v>
      </c>
      <c r="O52" s="298">
        <v>0</v>
      </c>
      <c r="P52" s="298">
        <f t="shared" si="3"/>
        <v>0</v>
      </c>
      <c r="Q52" s="557">
        <f t="shared" si="4"/>
        <v>0</v>
      </c>
    </row>
    <row r="53" spans="2:17" s="9" customFormat="1">
      <c r="B53" s="150">
        <v>19</v>
      </c>
      <c r="C53" s="151" t="s">
        <v>674</v>
      </c>
      <c r="D53" s="298">
        <v>0</v>
      </c>
      <c r="E53" s="298">
        <v>0</v>
      </c>
      <c r="F53" s="298">
        <v>0</v>
      </c>
      <c r="G53" s="298">
        <v>0</v>
      </c>
      <c r="H53" s="298">
        <v>0</v>
      </c>
      <c r="I53" s="298">
        <v>0</v>
      </c>
      <c r="J53" s="298">
        <v>0</v>
      </c>
      <c r="K53" s="298">
        <v>0</v>
      </c>
      <c r="L53" s="298">
        <v>0</v>
      </c>
      <c r="M53" s="298">
        <v>0</v>
      </c>
      <c r="N53" s="298">
        <v>0</v>
      </c>
      <c r="O53" s="298">
        <v>0</v>
      </c>
      <c r="P53" s="298">
        <f t="shared" si="3"/>
        <v>0</v>
      </c>
      <c r="Q53" s="557">
        <f t="shared" si="4"/>
        <v>0</v>
      </c>
    </row>
    <row r="54" spans="2:17" s="9" customFormat="1">
      <c r="B54" s="150"/>
      <c r="C54" s="299" t="s">
        <v>219</v>
      </c>
      <c r="D54" s="298">
        <f>SUM(D35:D53)</f>
        <v>28117.246110707241</v>
      </c>
      <c r="E54" s="298">
        <f t="shared" ref="E54:P54" si="5">SUM(E35:E53)</f>
        <v>27557.873662380756</v>
      </c>
      <c r="F54" s="298">
        <f t="shared" si="5"/>
        <v>28864.755477324492</v>
      </c>
      <c r="G54" s="298">
        <f t="shared" si="5"/>
        <v>23947.354195948741</v>
      </c>
      <c r="H54" s="298">
        <f t="shared" si="5"/>
        <v>26728.999049390372</v>
      </c>
      <c r="I54" s="298">
        <f t="shared" si="5"/>
        <v>27211.150827129863</v>
      </c>
      <c r="J54" s="298">
        <f t="shared" si="5"/>
        <v>28133.10508966518</v>
      </c>
      <c r="K54" s="298">
        <f t="shared" si="5"/>
        <v>27802.314324073115</v>
      </c>
      <c r="L54" s="298">
        <f t="shared" si="5"/>
        <v>26899.216113744082</v>
      </c>
      <c r="M54" s="298">
        <f t="shared" si="5"/>
        <v>27614.543762865374</v>
      </c>
      <c r="N54" s="298">
        <f t="shared" si="5"/>
        <v>27853.788796038378</v>
      </c>
      <c r="O54" s="298">
        <f t="shared" si="5"/>
        <v>27914.102159313981</v>
      </c>
      <c r="P54" s="298">
        <f t="shared" si="5"/>
        <v>328644.44956858153</v>
      </c>
      <c r="Q54" s="300">
        <f t="shared" ref="Q54" si="6">SUM(Q35:Q49)</f>
        <v>27387.037464048459</v>
      </c>
    </row>
    <row r="56" spans="2:17">
      <c r="B56" s="8" t="s">
        <v>676</v>
      </c>
    </row>
    <row r="57" spans="2:17">
      <c r="B57" s="9"/>
      <c r="C57" s="9"/>
      <c r="D57" s="9"/>
      <c r="E57" s="9"/>
      <c r="F57" s="9"/>
      <c r="G57" s="9"/>
      <c r="H57" s="9"/>
      <c r="I57" s="9"/>
      <c r="J57" s="9"/>
      <c r="K57" s="9"/>
      <c r="L57" s="9"/>
      <c r="M57" s="9"/>
      <c r="N57" s="9"/>
      <c r="O57" s="9"/>
      <c r="P57" s="7" t="s">
        <v>672</v>
      </c>
    </row>
    <row r="58" spans="2:17">
      <c r="B58" s="149" t="s">
        <v>2</v>
      </c>
      <c r="C58" s="140" t="s">
        <v>53</v>
      </c>
      <c r="D58" s="141" t="s">
        <v>577</v>
      </c>
      <c r="E58" s="141" t="s">
        <v>578</v>
      </c>
      <c r="F58" s="141" t="s">
        <v>579</v>
      </c>
      <c r="G58" s="141" t="s">
        <v>580</v>
      </c>
      <c r="H58" s="141" t="s">
        <v>581</v>
      </c>
      <c r="I58" s="141" t="s">
        <v>582</v>
      </c>
      <c r="J58" s="141" t="s">
        <v>583</v>
      </c>
      <c r="K58" s="141" t="s">
        <v>584</v>
      </c>
      <c r="L58" s="141" t="s">
        <v>585</v>
      </c>
      <c r="M58" s="141" t="s">
        <v>586</v>
      </c>
      <c r="N58" s="141" t="s">
        <v>587</v>
      </c>
      <c r="O58" s="141" t="s">
        <v>588</v>
      </c>
      <c r="P58" s="141" t="s">
        <v>219</v>
      </c>
      <c r="Q58" s="263" t="s">
        <v>648</v>
      </c>
    </row>
    <row r="59" spans="2:17">
      <c r="B59" s="150">
        <v>1</v>
      </c>
      <c r="C59" s="151" t="s">
        <v>591</v>
      </c>
      <c r="D59" s="298">
        <f>AVERAGE(D35,D11)</f>
        <v>23777.580184858241</v>
      </c>
      <c r="E59" s="298">
        <f t="shared" ref="E59:O59" si="7">AVERAGE(E35,E11)</f>
        <v>23119.247345499793</v>
      </c>
      <c r="F59" s="298">
        <f t="shared" si="7"/>
        <v>23993.813129012218</v>
      </c>
      <c r="G59" s="298">
        <f t="shared" si="7"/>
        <v>20119.506014882179</v>
      </c>
      <c r="H59" s="298">
        <f t="shared" si="7"/>
        <v>22727.9219466832</v>
      </c>
      <c r="I59" s="298">
        <f t="shared" si="7"/>
        <v>23042.939123242348</v>
      </c>
      <c r="J59" s="572">
        <f t="shared" si="7"/>
        <v>23791.83323312947</v>
      </c>
      <c r="K59" s="572">
        <f t="shared" si="7"/>
        <v>23796.40090880925</v>
      </c>
      <c r="L59" s="572">
        <f t="shared" si="7"/>
        <v>23220.999010921078</v>
      </c>
      <c r="M59" s="572">
        <f t="shared" si="7"/>
        <v>23925.065047344586</v>
      </c>
      <c r="N59" s="572">
        <f t="shared" si="7"/>
        <v>24128.503229134425</v>
      </c>
      <c r="O59" s="572">
        <f t="shared" si="7"/>
        <v>23955.496518235355</v>
      </c>
      <c r="P59" s="298">
        <f>SUM(D59:O59)</f>
        <v>279599.30569175212</v>
      </c>
      <c r="Q59" s="557">
        <f>IFERROR(AVERAGE(D59:O59),0)</f>
        <v>23299.942140979343</v>
      </c>
    </row>
    <row r="60" spans="2:17">
      <c r="B60" s="150">
        <v>2</v>
      </c>
      <c r="C60" s="151" t="s">
        <v>593</v>
      </c>
      <c r="D60" s="298">
        <f t="shared" ref="D60:O60" si="8">AVERAGE(D36,D12)</f>
        <v>1020.3814726347493</v>
      </c>
      <c r="E60" s="298">
        <f t="shared" si="8"/>
        <v>1000.9619867274989</v>
      </c>
      <c r="F60" s="298">
        <f t="shared" si="8"/>
        <v>970.61401946572789</v>
      </c>
      <c r="G60" s="298">
        <f t="shared" si="8"/>
        <v>874.95442331541949</v>
      </c>
      <c r="H60" s="298">
        <f t="shared" si="8"/>
        <v>816.23508989460629</v>
      </c>
      <c r="I60" s="298">
        <f t="shared" si="8"/>
        <v>866.22619933829617</v>
      </c>
      <c r="J60" s="298">
        <f t="shared" si="8"/>
        <v>939.24507100653045</v>
      </c>
      <c r="K60" s="298">
        <f t="shared" si="8"/>
        <v>868.33890323246919</v>
      </c>
      <c r="L60" s="298">
        <f t="shared" si="8"/>
        <v>799.83785287451065</v>
      </c>
      <c r="M60" s="298">
        <f t="shared" si="8"/>
        <v>792.54590366405932</v>
      </c>
      <c r="N60" s="298">
        <f t="shared" si="8"/>
        <v>810.26053853296185</v>
      </c>
      <c r="O60" s="298">
        <f t="shared" si="8"/>
        <v>895.02146916003721</v>
      </c>
      <c r="P60" s="298">
        <f t="shared" ref="P60:P77" si="9">SUM(D60:O60)</f>
        <v>10654.622929846868</v>
      </c>
      <c r="Q60" s="557">
        <f t="shared" ref="Q60:Q77" si="10">IFERROR(AVERAGE(D60:O60),0)</f>
        <v>887.88524415390566</v>
      </c>
    </row>
    <row r="61" spans="2:17">
      <c r="B61" s="150">
        <v>3</v>
      </c>
      <c r="C61" s="151" t="s">
        <v>595</v>
      </c>
      <c r="D61" s="298">
        <f t="shared" ref="D61:O61" si="11">AVERAGE(D37,D13)</f>
        <v>1788.4769550316751</v>
      </c>
      <c r="E61" s="298">
        <f t="shared" si="11"/>
        <v>1788.1505599336374</v>
      </c>
      <c r="F61" s="298">
        <f t="shared" si="11"/>
        <v>1851.5669082625805</v>
      </c>
      <c r="G61" s="298">
        <f t="shared" si="11"/>
        <v>1554.7464034725094</v>
      </c>
      <c r="H61" s="298">
        <f t="shared" si="11"/>
        <v>1595.5950816284358</v>
      </c>
      <c r="I61" s="298">
        <f t="shared" si="11"/>
        <v>1652.9881513647642</v>
      </c>
      <c r="J61" s="298">
        <f t="shared" si="11"/>
        <v>1757.3825023323311</v>
      </c>
      <c r="K61" s="298">
        <f t="shared" si="11"/>
        <v>1585.0049571413817</v>
      </c>
      <c r="L61" s="298">
        <f t="shared" si="11"/>
        <v>1404.23562744694</v>
      </c>
      <c r="M61" s="298">
        <f t="shared" si="11"/>
        <v>1382.5883902840674</v>
      </c>
      <c r="N61" s="298">
        <f t="shared" si="11"/>
        <v>1457.4521613535542</v>
      </c>
      <c r="O61" s="298">
        <f t="shared" si="11"/>
        <v>1627.9597685711333</v>
      </c>
      <c r="P61" s="298">
        <f t="shared" si="9"/>
        <v>19446.147466823011</v>
      </c>
      <c r="Q61" s="557">
        <f t="shared" si="10"/>
        <v>1620.5122889019176</v>
      </c>
    </row>
    <row r="62" spans="2:17">
      <c r="B62" s="150">
        <v>4</v>
      </c>
      <c r="C62" s="151" t="s">
        <v>597</v>
      </c>
      <c r="D62" s="298">
        <f t="shared" ref="D62:O62" si="12">AVERAGE(D38,D14)</f>
        <v>884.78552289957429</v>
      </c>
      <c r="E62" s="298">
        <f t="shared" si="12"/>
        <v>910.36105350476964</v>
      </c>
      <c r="F62" s="298">
        <f t="shared" si="12"/>
        <v>946.87703458272938</v>
      </c>
      <c r="G62" s="298">
        <f t="shared" si="12"/>
        <v>778.1489045059941</v>
      </c>
      <c r="H62" s="298">
        <f t="shared" si="12"/>
        <v>783.59173382930362</v>
      </c>
      <c r="I62" s="298">
        <f t="shared" si="12"/>
        <v>820.53070719602988</v>
      </c>
      <c r="J62" s="298">
        <f t="shared" si="12"/>
        <v>874.09229812376907</v>
      </c>
      <c r="K62" s="298">
        <f t="shared" si="12"/>
        <v>812.19655065578854</v>
      </c>
      <c r="L62" s="298">
        <f t="shared" si="12"/>
        <v>706.30311147743669</v>
      </c>
      <c r="M62" s="298">
        <f t="shared" si="12"/>
        <v>675.91469740634011</v>
      </c>
      <c r="N62" s="298">
        <f t="shared" si="12"/>
        <v>717.03097080367274</v>
      </c>
      <c r="O62" s="298">
        <f t="shared" si="12"/>
        <v>805.63293728690985</v>
      </c>
      <c r="P62" s="298">
        <f t="shared" si="9"/>
        <v>9715.4655222723177</v>
      </c>
      <c r="Q62" s="557">
        <f t="shared" si="10"/>
        <v>809.62212685602651</v>
      </c>
    </row>
    <row r="63" spans="2:17">
      <c r="B63" s="150">
        <v>5</v>
      </c>
      <c r="C63" s="151" t="s">
        <v>599</v>
      </c>
      <c r="D63" s="298">
        <f t="shared" ref="D63:O63" si="13">AVERAGE(D39,D15)</f>
        <v>478.61252466507426</v>
      </c>
      <c r="E63" s="298">
        <f t="shared" si="13"/>
        <v>469.16511820821233</v>
      </c>
      <c r="F63" s="298">
        <f t="shared" si="13"/>
        <v>462.11847173327817</v>
      </c>
      <c r="G63" s="298">
        <f t="shared" si="13"/>
        <v>437.54477056634971</v>
      </c>
      <c r="H63" s="298">
        <f t="shared" si="13"/>
        <v>469.47993387063445</v>
      </c>
      <c r="I63" s="298">
        <f t="shared" si="13"/>
        <v>471.72866004962782</v>
      </c>
      <c r="J63" s="298">
        <f t="shared" si="13"/>
        <v>476.88131025189182</v>
      </c>
      <c r="K63" s="298">
        <f t="shared" si="13"/>
        <v>489.08542806981302</v>
      </c>
      <c r="L63" s="298">
        <f t="shared" si="13"/>
        <v>485.58695652173913</v>
      </c>
      <c r="M63" s="298">
        <f t="shared" si="13"/>
        <v>484.22107863318234</v>
      </c>
      <c r="N63" s="298">
        <f t="shared" si="13"/>
        <v>486.65573093985347</v>
      </c>
      <c r="O63" s="298">
        <f t="shared" si="13"/>
        <v>504.46918070048559</v>
      </c>
      <c r="P63" s="298">
        <f t="shared" si="9"/>
        <v>5715.5491642101415</v>
      </c>
      <c r="Q63" s="557">
        <f t="shared" si="10"/>
        <v>476.29576368417844</v>
      </c>
    </row>
    <row r="64" spans="2:17">
      <c r="B64" s="150">
        <v>6</v>
      </c>
      <c r="C64" s="151" t="s">
        <v>601</v>
      </c>
      <c r="D64" s="298">
        <f t="shared" ref="D64:O64" si="14">AVERAGE(D40,D16)</f>
        <v>11.121881815349465</v>
      </c>
      <c r="E64" s="298">
        <f t="shared" si="14"/>
        <v>10.843197843218581</v>
      </c>
      <c r="F64" s="298">
        <f t="shared" si="14"/>
        <v>11.218078277076</v>
      </c>
      <c r="G64" s="298">
        <f t="shared" si="14"/>
        <v>9.2538032244729216</v>
      </c>
      <c r="H64" s="298">
        <f t="shared" si="14"/>
        <v>9.451084934903907</v>
      </c>
      <c r="I64" s="298">
        <f t="shared" si="14"/>
        <v>9.4198511166253098</v>
      </c>
      <c r="J64" s="298">
        <f t="shared" si="14"/>
        <v>10.279672437027054</v>
      </c>
      <c r="K64" s="298">
        <f t="shared" si="14"/>
        <v>9.6579365898998226</v>
      </c>
      <c r="L64" s="298">
        <f t="shared" si="14"/>
        <v>8.5713579229342667</v>
      </c>
      <c r="M64" s="298">
        <f t="shared" si="14"/>
        <v>8.0460889254837369</v>
      </c>
      <c r="N64" s="298">
        <f t="shared" si="14"/>
        <v>8.2633446817290821</v>
      </c>
      <c r="O64" s="298">
        <f t="shared" si="14"/>
        <v>9.4204153321624133</v>
      </c>
      <c r="P64" s="298">
        <f t="shared" si="9"/>
        <v>115.54671310088256</v>
      </c>
      <c r="Q64" s="557">
        <f t="shared" si="10"/>
        <v>9.6288927584068791</v>
      </c>
    </row>
    <row r="65" spans="2:17">
      <c r="B65" s="150">
        <v>7</v>
      </c>
      <c r="C65" s="151" t="s">
        <v>603</v>
      </c>
      <c r="D65" s="298">
        <f t="shared" ref="D65:O65" si="15">AVERAGE(D41,D17)</f>
        <v>5.1592688752726144</v>
      </c>
      <c r="E65" s="298">
        <f t="shared" si="15"/>
        <v>5.3784736623807552</v>
      </c>
      <c r="F65" s="298">
        <f t="shared" si="15"/>
        <v>5.3594740111824395</v>
      </c>
      <c r="G65" s="298">
        <f t="shared" si="15"/>
        <v>4.7616577097974364</v>
      </c>
      <c r="H65" s="298">
        <f t="shared" si="15"/>
        <v>4.6093407728869611</v>
      </c>
      <c r="I65" s="298">
        <f t="shared" si="15"/>
        <v>4.877253928866832</v>
      </c>
      <c r="J65" s="298">
        <f t="shared" si="15"/>
        <v>4.815300093293251</v>
      </c>
      <c r="K65" s="298">
        <f t="shared" si="15"/>
        <v>4.7373747805432194</v>
      </c>
      <c r="L65" s="298">
        <f t="shared" si="15"/>
        <v>4.1297135792293425</v>
      </c>
      <c r="M65" s="298">
        <f t="shared" si="15"/>
        <v>4.2185055578427333</v>
      </c>
      <c r="N65" s="298">
        <f t="shared" si="15"/>
        <v>4.3941401011038899</v>
      </c>
      <c r="O65" s="298">
        <f t="shared" si="15"/>
        <v>4.6569480318214698</v>
      </c>
      <c r="P65" s="298">
        <f t="shared" si="9"/>
        <v>57.097451104220937</v>
      </c>
      <c r="Q65" s="557">
        <f t="shared" si="10"/>
        <v>4.7581209253517445</v>
      </c>
    </row>
    <row r="66" spans="2:17">
      <c r="B66" s="150">
        <v>8</v>
      </c>
      <c r="C66" s="151" t="s">
        <v>605</v>
      </c>
      <c r="D66" s="298">
        <f t="shared" ref="D66:O66" si="16">AVERAGE(D42,D18)</f>
        <v>5.2049018589677019</v>
      </c>
      <c r="E66" s="298">
        <f t="shared" si="16"/>
        <v>5.2558481957693903</v>
      </c>
      <c r="F66" s="298">
        <f t="shared" si="16"/>
        <v>5.4861047835990888</v>
      </c>
      <c r="G66" s="298">
        <f t="shared" si="16"/>
        <v>5.1156883009508061</v>
      </c>
      <c r="H66" s="298">
        <f t="shared" si="16"/>
        <v>4.8876834056623268</v>
      </c>
      <c r="I66" s="298">
        <f t="shared" si="16"/>
        <v>5.1788254755996697</v>
      </c>
      <c r="J66" s="298">
        <f t="shared" si="16"/>
        <v>5.0548978957188764</v>
      </c>
      <c r="K66" s="298">
        <f t="shared" si="16"/>
        <v>4.5327687700092945</v>
      </c>
      <c r="L66" s="298">
        <f t="shared" si="16"/>
        <v>4.057407788996497</v>
      </c>
      <c r="M66" s="298">
        <f t="shared" si="16"/>
        <v>4.1932894195142039</v>
      </c>
      <c r="N66" s="298">
        <f t="shared" si="16"/>
        <v>4.439801918910554</v>
      </c>
      <c r="O66" s="298">
        <f t="shared" si="16"/>
        <v>4.6187002789544369</v>
      </c>
      <c r="P66" s="298">
        <f t="shared" si="9"/>
        <v>58.025918092652837</v>
      </c>
      <c r="Q66" s="557">
        <f t="shared" si="10"/>
        <v>4.8354931743877367</v>
      </c>
    </row>
    <row r="67" spans="2:17">
      <c r="B67" s="150">
        <v>9</v>
      </c>
      <c r="C67" s="151" t="s">
        <v>607</v>
      </c>
      <c r="D67" s="298">
        <f t="shared" ref="D67:O67" si="17">AVERAGE(D43,D19)</f>
        <v>4.2866548966663203</v>
      </c>
      <c r="E67" s="298">
        <f t="shared" si="17"/>
        <v>4.4854417254251349</v>
      </c>
      <c r="F67" s="298">
        <f t="shared" si="17"/>
        <v>4.3346862704493683</v>
      </c>
      <c r="G67" s="298">
        <f t="shared" si="17"/>
        <v>4.3053534518396033</v>
      </c>
      <c r="H67" s="298">
        <f t="shared" si="17"/>
        <v>4.9756767927257695</v>
      </c>
      <c r="I67" s="298">
        <f t="shared" si="17"/>
        <v>4.9985732009925563</v>
      </c>
      <c r="J67" s="298">
        <f t="shared" si="17"/>
        <v>5.4653052762516845</v>
      </c>
      <c r="K67" s="298">
        <f t="shared" si="17"/>
        <v>5.3144480016523801</v>
      </c>
      <c r="L67" s="298">
        <f t="shared" si="17"/>
        <v>5.2325159695033996</v>
      </c>
      <c r="M67" s="298">
        <f t="shared" si="17"/>
        <v>5.3194112803622886</v>
      </c>
      <c r="N67" s="298">
        <f t="shared" si="17"/>
        <v>5.436830702568864</v>
      </c>
      <c r="O67" s="298">
        <f t="shared" si="17"/>
        <v>5.9533836140097121</v>
      </c>
      <c r="P67" s="298">
        <f t="shared" si="9"/>
        <v>60.10828118244708</v>
      </c>
      <c r="Q67" s="557">
        <f t="shared" si="10"/>
        <v>5.00902343187059</v>
      </c>
    </row>
    <row r="68" spans="2:17">
      <c r="B68" s="150">
        <v>10</v>
      </c>
      <c r="C68" s="151" t="s">
        <v>609</v>
      </c>
      <c r="D68" s="298">
        <f t="shared" ref="D68:O68" si="18">AVERAGE(D44,D20)</f>
        <v>14.443452071866236</v>
      </c>
      <c r="E68" s="298">
        <f t="shared" si="18"/>
        <v>14.661551223558689</v>
      </c>
      <c r="F68" s="298">
        <f t="shared" si="18"/>
        <v>16.419134396355354</v>
      </c>
      <c r="G68" s="298">
        <f t="shared" si="18"/>
        <v>15.035551880942538</v>
      </c>
      <c r="H68" s="298">
        <f t="shared" si="18"/>
        <v>13.768547220500103</v>
      </c>
      <c r="I68" s="298">
        <f t="shared" si="18"/>
        <v>14.455748552522747</v>
      </c>
      <c r="J68" s="298">
        <f t="shared" si="18"/>
        <v>14.090183476728516</v>
      </c>
      <c r="K68" s="298">
        <f t="shared" si="18"/>
        <v>12.142104719611691</v>
      </c>
      <c r="L68" s="298">
        <f t="shared" si="18"/>
        <v>11.783226869977334</v>
      </c>
      <c r="M68" s="298">
        <f t="shared" si="18"/>
        <v>10.656648826677646</v>
      </c>
      <c r="N68" s="298">
        <f t="shared" si="18"/>
        <v>11.960383782110801</v>
      </c>
      <c r="O68" s="298">
        <f t="shared" si="18"/>
        <v>14.297758032854635</v>
      </c>
      <c r="P68" s="298">
        <f t="shared" si="9"/>
        <v>163.71429105370626</v>
      </c>
      <c r="Q68" s="557">
        <f t="shared" si="10"/>
        <v>13.642857587808855</v>
      </c>
    </row>
    <row r="69" spans="2:17">
      <c r="B69" s="150">
        <v>11</v>
      </c>
      <c r="C69" s="151" t="s">
        <v>611</v>
      </c>
      <c r="D69" s="298">
        <f t="shared" ref="D69:O69" si="19">AVERAGE(D45,D21)</f>
        <v>7.1550732163256825</v>
      </c>
      <c r="E69" s="298">
        <f t="shared" si="19"/>
        <v>8.7822895064288673</v>
      </c>
      <c r="F69" s="298">
        <f t="shared" si="19"/>
        <v>8.443445848001657</v>
      </c>
      <c r="G69" s="298">
        <f t="shared" si="19"/>
        <v>7.3397271599834637</v>
      </c>
      <c r="H69" s="298">
        <f t="shared" si="19"/>
        <v>7.7504649721016738</v>
      </c>
      <c r="I69" s="298">
        <f t="shared" si="19"/>
        <v>8.0666253101736967</v>
      </c>
      <c r="J69" s="298">
        <f t="shared" si="19"/>
        <v>8.4427490411526911</v>
      </c>
      <c r="K69" s="298">
        <f t="shared" si="19"/>
        <v>7.6592998037798203</v>
      </c>
      <c r="L69" s="298">
        <f t="shared" si="19"/>
        <v>6.5028642077065726</v>
      </c>
      <c r="M69" s="298">
        <f t="shared" si="19"/>
        <v>6.5940304652120219</v>
      </c>
      <c r="N69" s="298">
        <f t="shared" si="19"/>
        <v>7.6603528319405747</v>
      </c>
      <c r="O69" s="298">
        <f t="shared" si="19"/>
        <v>9.3065399318111375</v>
      </c>
      <c r="P69" s="298">
        <f t="shared" si="9"/>
        <v>93.70346229461785</v>
      </c>
      <c r="Q69" s="557">
        <f t="shared" si="10"/>
        <v>7.8086218578848205</v>
      </c>
    </row>
    <row r="70" spans="2:17">
      <c r="B70" s="150">
        <v>12</v>
      </c>
      <c r="C70" s="151" t="s">
        <v>613</v>
      </c>
      <c r="D70" s="298">
        <f t="shared" ref="D70:O70" si="20">AVERAGE(D46,D22)</f>
        <v>6.6076435766953994</v>
      </c>
      <c r="E70" s="298">
        <f t="shared" si="20"/>
        <v>7.4623807548734957</v>
      </c>
      <c r="F70" s="298">
        <f t="shared" si="20"/>
        <v>6.4831227997515013</v>
      </c>
      <c r="G70" s="298">
        <f t="shared" si="20"/>
        <v>5.1966721785861925</v>
      </c>
      <c r="H70" s="298">
        <f t="shared" si="20"/>
        <v>5.0613349865674726</v>
      </c>
      <c r="I70" s="298">
        <f t="shared" si="20"/>
        <v>7.2227667493796526</v>
      </c>
      <c r="J70" s="298">
        <f t="shared" si="20"/>
        <v>4.2022183062091845</v>
      </c>
      <c r="K70" s="298">
        <f t="shared" si="20"/>
        <v>6.499617887018486</v>
      </c>
      <c r="L70" s="298">
        <f t="shared" si="20"/>
        <v>4.0146301256954455</v>
      </c>
      <c r="M70" s="298">
        <f t="shared" si="20"/>
        <v>4.0386167146974064</v>
      </c>
      <c r="N70" s="298">
        <f t="shared" si="20"/>
        <v>4.6160321881770354</v>
      </c>
      <c r="O70" s="298">
        <f t="shared" si="20"/>
        <v>5.4577745634879635</v>
      </c>
      <c r="P70" s="298">
        <f t="shared" si="9"/>
        <v>66.862810831139242</v>
      </c>
      <c r="Q70" s="557">
        <f t="shared" si="10"/>
        <v>5.5719009025949369</v>
      </c>
    </row>
    <row r="71" spans="2:17">
      <c r="B71" s="150">
        <v>13</v>
      </c>
      <c r="C71" s="151" t="s">
        <v>615</v>
      </c>
      <c r="D71" s="298">
        <f t="shared" ref="D71:O71" si="21">AVERAGE(D47,D23)</f>
        <v>1.2046941530792399</v>
      </c>
      <c r="E71" s="298">
        <f t="shared" si="21"/>
        <v>1.2360016590626297</v>
      </c>
      <c r="F71" s="298">
        <f t="shared" si="21"/>
        <v>1.2714847794574446</v>
      </c>
      <c r="G71" s="298">
        <f t="shared" si="21"/>
        <v>1.1616370400992146</v>
      </c>
      <c r="H71" s="298">
        <f t="shared" si="21"/>
        <v>1.3019218846869189</v>
      </c>
      <c r="I71" s="298">
        <f t="shared" si="21"/>
        <v>1.424731182795699</v>
      </c>
      <c r="J71" s="298">
        <f t="shared" si="21"/>
        <v>1.1361044884420028</v>
      </c>
      <c r="K71" s="298">
        <f t="shared" si="21"/>
        <v>0.87369616854280685</v>
      </c>
      <c r="L71" s="298">
        <f t="shared" si="21"/>
        <v>0.89841335256542343</v>
      </c>
      <c r="M71" s="298">
        <f t="shared" si="21"/>
        <v>0.82132564841498557</v>
      </c>
      <c r="N71" s="298">
        <f t="shared" si="21"/>
        <v>0.92437841741462923</v>
      </c>
      <c r="O71" s="298">
        <f t="shared" si="21"/>
        <v>1.0786238247752866</v>
      </c>
      <c r="P71" s="298">
        <f t="shared" si="9"/>
        <v>13.333012599336282</v>
      </c>
      <c r="Q71" s="557">
        <f t="shared" si="10"/>
        <v>1.1110843832780235</v>
      </c>
    </row>
    <row r="72" spans="2:17">
      <c r="B72" s="150">
        <v>14</v>
      </c>
      <c r="C72" s="151" t="s">
        <v>617</v>
      </c>
      <c r="D72" s="298">
        <f t="shared" ref="D72:O72" si="22">AVERAGE(D48,D24)</f>
        <v>0.68110914944438683</v>
      </c>
      <c r="E72" s="298">
        <f t="shared" si="22"/>
        <v>0.71868519286603072</v>
      </c>
      <c r="F72" s="298">
        <f t="shared" si="22"/>
        <v>0.78165251604887143</v>
      </c>
      <c r="G72" s="298">
        <f t="shared" si="22"/>
        <v>0.6033898305084745</v>
      </c>
      <c r="H72" s="298">
        <f t="shared" si="22"/>
        <v>0.56271957015912377</v>
      </c>
      <c r="I72" s="298">
        <f t="shared" si="22"/>
        <v>0.58413978494623653</v>
      </c>
      <c r="J72" s="298">
        <f t="shared" si="22"/>
        <v>0.64106976262050375</v>
      </c>
      <c r="K72" s="298">
        <f t="shared" si="22"/>
        <v>0.54687596819167617</v>
      </c>
      <c r="L72" s="298">
        <f t="shared" si="22"/>
        <v>0.53119719760972595</v>
      </c>
      <c r="M72" s="298">
        <f t="shared" si="22"/>
        <v>0.5089954713874022</v>
      </c>
      <c r="N72" s="298">
        <f t="shared" si="22"/>
        <v>0.54505313112555442</v>
      </c>
      <c r="O72" s="298">
        <f t="shared" si="22"/>
        <v>0.66992457898543245</v>
      </c>
      <c r="P72" s="298">
        <f t="shared" si="9"/>
        <v>7.3748121538934175</v>
      </c>
      <c r="Q72" s="557">
        <f t="shared" si="10"/>
        <v>0.61456767949111812</v>
      </c>
    </row>
    <row r="73" spans="2:17">
      <c r="B73" s="150">
        <v>15</v>
      </c>
      <c r="C73" s="151" t="s">
        <v>619</v>
      </c>
      <c r="D73" s="298">
        <f t="shared" ref="D73:O73" si="23">AVERAGE(D49,D25)</f>
        <v>0</v>
      </c>
      <c r="E73" s="298">
        <f t="shared" si="23"/>
        <v>0</v>
      </c>
      <c r="F73" s="298">
        <f t="shared" si="23"/>
        <v>0</v>
      </c>
      <c r="G73" s="298">
        <f t="shared" si="23"/>
        <v>0</v>
      </c>
      <c r="H73" s="298">
        <f t="shared" si="23"/>
        <v>0</v>
      </c>
      <c r="I73" s="298">
        <f t="shared" si="23"/>
        <v>0</v>
      </c>
      <c r="J73" s="298">
        <f t="shared" si="23"/>
        <v>0</v>
      </c>
      <c r="K73" s="572">
        <f t="shared" si="23"/>
        <v>29.495714138180315</v>
      </c>
      <c r="L73" s="572">
        <f t="shared" si="23"/>
        <v>24.051390892231609</v>
      </c>
      <c r="M73" s="572">
        <f t="shared" si="23"/>
        <v>25.040654590366408</v>
      </c>
      <c r="N73" s="572">
        <f t="shared" si="23"/>
        <v>26.669183947178375</v>
      </c>
      <c r="O73" s="572">
        <f t="shared" si="23"/>
        <v>29.390432895960327</v>
      </c>
      <c r="P73" s="298">
        <f t="shared" si="9"/>
        <v>134.64737646391703</v>
      </c>
      <c r="Q73" s="557">
        <f t="shared" si="10"/>
        <v>11.220614705326419</v>
      </c>
    </row>
    <row r="74" spans="2:17">
      <c r="B74" s="150">
        <v>16</v>
      </c>
      <c r="C74" s="151" t="s">
        <v>620</v>
      </c>
      <c r="D74" s="298">
        <f t="shared" ref="D74:O74" si="24">AVERAGE(D50,D26)</f>
        <v>0</v>
      </c>
      <c r="E74" s="298">
        <f t="shared" si="24"/>
        <v>0</v>
      </c>
      <c r="F74" s="298">
        <f t="shared" si="24"/>
        <v>0</v>
      </c>
      <c r="G74" s="298">
        <f t="shared" si="24"/>
        <v>0</v>
      </c>
      <c r="H74" s="298">
        <f t="shared" si="24"/>
        <v>0</v>
      </c>
      <c r="I74" s="298">
        <f t="shared" si="24"/>
        <v>0</v>
      </c>
      <c r="J74" s="298">
        <f t="shared" si="24"/>
        <v>0</v>
      </c>
      <c r="K74" s="298">
        <f t="shared" si="24"/>
        <v>0</v>
      </c>
      <c r="L74" s="298">
        <f t="shared" si="24"/>
        <v>0</v>
      </c>
      <c r="M74" s="298">
        <f t="shared" si="24"/>
        <v>0</v>
      </c>
      <c r="N74" s="298">
        <f t="shared" si="24"/>
        <v>0</v>
      </c>
      <c r="O74" s="298">
        <f t="shared" si="24"/>
        <v>0</v>
      </c>
      <c r="P74" s="298">
        <f t="shared" si="9"/>
        <v>0</v>
      </c>
      <c r="Q74" s="557">
        <f t="shared" si="10"/>
        <v>0</v>
      </c>
    </row>
    <row r="75" spans="2:17">
      <c r="B75" s="150">
        <v>17</v>
      </c>
      <c r="C75" s="151" t="s">
        <v>621</v>
      </c>
      <c r="D75" s="298">
        <f t="shared" ref="D75:O75" si="25">AVERAGE(D51,D27)</f>
        <v>0</v>
      </c>
      <c r="E75" s="298">
        <f t="shared" si="25"/>
        <v>0</v>
      </c>
      <c r="F75" s="298">
        <f t="shared" si="25"/>
        <v>0</v>
      </c>
      <c r="G75" s="298">
        <f t="shared" si="25"/>
        <v>0</v>
      </c>
      <c r="H75" s="298">
        <f t="shared" si="25"/>
        <v>0</v>
      </c>
      <c r="I75" s="298">
        <f t="shared" si="25"/>
        <v>0</v>
      </c>
      <c r="J75" s="298">
        <f t="shared" si="25"/>
        <v>0</v>
      </c>
      <c r="K75" s="298">
        <f t="shared" si="25"/>
        <v>0</v>
      </c>
      <c r="L75" s="298">
        <f t="shared" si="25"/>
        <v>0</v>
      </c>
      <c r="M75" s="298">
        <f t="shared" si="25"/>
        <v>0</v>
      </c>
      <c r="N75" s="298">
        <f t="shared" si="25"/>
        <v>0</v>
      </c>
      <c r="O75" s="298">
        <f t="shared" si="25"/>
        <v>0</v>
      </c>
      <c r="P75" s="298">
        <f t="shared" si="9"/>
        <v>0</v>
      </c>
      <c r="Q75" s="557">
        <f t="shared" si="10"/>
        <v>0</v>
      </c>
    </row>
    <row r="76" spans="2:17">
      <c r="B76" s="150">
        <v>18</v>
      </c>
      <c r="C76" s="151" t="s">
        <v>673</v>
      </c>
      <c r="D76" s="298">
        <f t="shared" ref="D76:O76" si="26">AVERAGE(D52,D28)</f>
        <v>0</v>
      </c>
      <c r="E76" s="298">
        <f t="shared" si="26"/>
        <v>0</v>
      </c>
      <c r="F76" s="298">
        <f t="shared" si="26"/>
        <v>0</v>
      </c>
      <c r="G76" s="298">
        <f t="shared" si="26"/>
        <v>0</v>
      </c>
      <c r="H76" s="298">
        <f t="shared" si="26"/>
        <v>0</v>
      </c>
      <c r="I76" s="298">
        <f t="shared" si="26"/>
        <v>0</v>
      </c>
      <c r="J76" s="298">
        <f t="shared" si="26"/>
        <v>0</v>
      </c>
      <c r="K76" s="298">
        <f t="shared" si="26"/>
        <v>0</v>
      </c>
      <c r="L76" s="298">
        <f t="shared" si="26"/>
        <v>0</v>
      </c>
      <c r="M76" s="298">
        <f t="shared" si="26"/>
        <v>0</v>
      </c>
      <c r="N76" s="298">
        <f t="shared" si="26"/>
        <v>0</v>
      </c>
      <c r="O76" s="298">
        <f t="shared" si="26"/>
        <v>0</v>
      </c>
      <c r="P76" s="298">
        <f t="shared" si="9"/>
        <v>0</v>
      </c>
      <c r="Q76" s="557">
        <f t="shared" si="10"/>
        <v>0</v>
      </c>
    </row>
    <row r="77" spans="2:17">
      <c r="B77" s="150">
        <v>19</v>
      </c>
      <c r="C77" s="151" t="s">
        <v>674</v>
      </c>
      <c r="D77" s="298">
        <v>0</v>
      </c>
      <c r="E77" s="298">
        <v>0</v>
      </c>
      <c r="F77" s="298">
        <v>0</v>
      </c>
      <c r="G77" s="298">
        <v>0</v>
      </c>
      <c r="H77" s="298">
        <v>0</v>
      </c>
      <c r="I77" s="298">
        <v>0</v>
      </c>
      <c r="J77" s="298">
        <v>0</v>
      </c>
      <c r="K77" s="298">
        <v>0</v>
      </c>
      <c r="L77" s="298">
        <v>0</v>
      </c>
      <c r="M77" s="298">
        <v>0</v>
      </c>
      <c r="N77" s="298">
        <v>0</v>
      </c>
      <c r="O77" s="298">
        <v>0</v>
      </c>
      <c r="P77" s="298">
        <f t="shared" si="9"/>
        <v>0</v>
      </c>
      <c r="Q77" s="557">
        <f t="shared" si="10"/>
        <v>0</v>
      </c>
    </row>
    <row r="78" spans="2:17">
      <c r="B78" s="150"/>
      <c r="C78" s="299" t="s">
        <v>219</v>
      </c>
      <c r="D78" s="300">
        <f>SUM(D59:D77)</f>
        <v>28005.701339702984</v>
      </c>
      <c r="E78" s="300">
        <f t="shared" ref="E78:J78" si="27">SUM(E59:E77)</f>
        <v>27346.709933637496</v>
      </c>
      <c r="F78" s="300">
        <f t="shared" si="27"/>
        <v>28284.786746738457</v>
      </c>
      <c r="G78" s="300">
        <f t="shared" si="27"/>
        <v>23817.673997519629</v>
      </c>
      <c r="H78" s="300">
        <f t="shared" si="27"/>
        <v>26445.192560446372</v>
      </c>
      <c r="I78" s="300">
        <f t="shared" si="27"/>
        <v>26910.641356492964</v>
      </c>
      <c r="J78" s="300">
        <f t="shared" si="27"/>
        <v>27893.561915621442</v>
      </c>
      <c r="K78" s="300">
        <f t="shared" ref="K78" si="28">SUM(K59:K77)</f>
        <v>27632.486584736136</v>
      </c>
      <c r="L78" s="300">
        <f t="shared" ref="L78" si="29">SUM(L59:L77)</f>
        <v>26686.735277148153</v>
      </c>
      <c r="M78" s="300">
        <f t="shared" ref="M78" si="30">SUM(M59:M77)</f>
        <v>27329.77268423219</v>
      </c>
      <c r="N78" s="300">
        <f t="shared" ref="N78" si="31">SUM(N59:N77)</f>
        <v>27674.812132466726</v>
      </c>
      <c r="O78" s="300">
        <f t="shared" ref="O78:P78" si="32">SUM(O59:O77)</f>
        <v>27873.430375038752</v>
      </c>
      <c r="P78" s="300">
        <f t="shared" si="32"/>
        <v>325901.50490378123</v>
      </c>
      <c r="Q78" s="300">
        <f t="shared" ref="Q78" si="33">SUM(Q59:Q73)</f>
        <v>27158.458741981776</v>
      </c>
    </row>
    <row r="79" spans="2:17">
      <c r="C79" s="7"/>
      <c r="G79" s="7"/>
      <c r="I79" s="8"/>
      <c r="L79" s="8"/>
    </row>
    <row r="80" spans="2:17">
      <c r="B80" s="8" t="s">
        <v>677</v>
      </c>
      <c r="C80" s="7"/>
      <c r="G80" s="7"/>
      <c r="I80" s="8"/>
      <c r="L80" s="8"/>
    </row>
    <row r="81" spans="2:17">
      <c r="C81" s="7"/>
      <c r="G81" s="7"/>
      <c r="I81" s="8"/>
      <c r="L81" s="8"/>
    </row>
    <row r="82" spans="2:17">
      <c r="B82" s="8" t="s">
        <v>671</v>
      </c>
      <c r="C82" s="7"/>
      <c r="G82" s="7"/>
      <c r="I82" s="8"/>
      <c r="L82" s="8"/>
    </row>
    <row r="83" spans="2:17">
      <c r="C83" s="7"/>
      <c r="G83" s="7"/>
      <c r="I83" s="8"/>
      <c r="L83" s="8"/>
      <c r="P83" s="7" t="s">
        <v>672</v>
      </c>
    </row>
    <row r="84" spans="2:17">
      <c r="B84" s="149" t="s">
        <v>2</v>
      </c>
      <c r="C84" s="149" t="s">
        <v>53</v>
      </c>
      <c r="D84" s="141" t="s">
        <v>577</v>
      </c>
      <c r="E84" s="141" t="s">
        <v>578</v>
      </c>
      <c r="F84" s="141" t="s">
        <v>579</v>
      </c>
      <c r="G84" s="141" t="s">
        <v>580</v>
      </c>
      <c r="H84" s="141" t="s">
        <v>581</v>
      </c>
      <c r="I84" s="141" t="s">
        <v>582</v>
      </c>
      <c r="J84" s="141" t="s">
        <v>583</v>
      </c>
      <c r="K84" s="141" t="s">
        <v>584</v>
      </c>
      <c r="L84" s="141" t="s">
        <v>585</v>
      </c>
      <c r="M84" s="141" t="s">
        <v>586</v>
      </c>
      <c r="N84" s="141" t="s">
        <v>587</v>
      </c>
      <c r="O84" s="141" t="s">
        <v>588</v>
      </c>
      <c r="P84" s="141" t="s">
        <v>219</v>
      </c>
      <c r="Q84" s="263" t="s">
        <v>648</v>
      </c>
    </row>
    <row r="85" spans="2:17" s="9" customFormat="1">
      <c r="B85" s="150">
        <v>1</v>
      </c>
      <c r="C85" s="151" t="s">
        <v>591</v>
      </c>
      <c r="D85" s="298">
        <v>23828.224759142235</v>
      </c>
      <c r="E85" s="298">
        <v>23609.251814328542</v>
      </c>
      <c r="F85" s="298">
        <v>23112.126503525509</v>
      </c>
      <c r="G85" s="298">
        <v>20533.157620279359</v>
      </c>
      <c r="H85" s="298">
        <v>20569.173071354708</v>
      </c>
      <c r="I85" s="298">
        <v>20104.804599999999</v>
      </c>
      <c r="J85" s="725"/>
      <c r="K85" s="301"/>
      <c r="L85" s="301"/>
      <c r="M85" s="301"/>
      <c r="N85" s="301"/>
      <c r="O85" s="301"/>
      <c r="P85" s="298">
        <f>SUM(D85:O85)</f>
        <v>131756.73836863035</v>
      </c>
      <c r="Q85" s="557">
        <f>IFERROR(AVERAGE(D85:O85),0)</f>
        <v>21959.456394771725</v>
      </c>
    </row>
    <row r="86" spans="2:17" s="9" customFormat="1">
      <c r="B86" s="150">
        <v>2</v>
      </c>
      <c r="C86" s="151" t="s">
        <v>593</v>
      </c>
      <c r="D86" s="298">
        <v>1007.7424220449601</v>
      </c>
      <c r="E86" s="298">
        <v>957.45944381267441</v>
      </c>
      <c r="F86" s="298">
        <v>1042.5326835338033</v>
      </c>
      <c r="G86" s="298">
        <v>857.41781686497666</v>
      </c>
      <c r="H86" s="298">
        <v>835.49178903826271</v>
      </c>
      <c r="I86" s="298">
        <v>912.81503999999995</v>
      </c>
      <c r="J86" s="725"/>
      <c r="K86" s="301"/>
      <c r="L86" s="301"/>
      <c r="M86" s="301"/>
      <c r="N86" s="301"/>
      <c r="O86" s="301"/>
      <c r="P86" s="298">
        <f t="shared" ref="P86:P103" si="34">SUM(D86:O86)</f>
        <v>5613.4591952946776</v>
      </c>
      <c r="Q86" s="557">
        <f t="shared" ref="Q86:Q103" si="35">IFERROR(AVERAGE(D86:O86),0)</f>
        <v>935.57653254911293</v>
      </c>
    </row>
    <row r="87" spans="2:17" s="9" customFormat="1">
      <c r="B87" s="150">
        <v>3</v>
      </c>
      <c r="C87" s="151" t="s">
        <v>595</v>
      </c>
      <c r="D87" s="298">
        <v>1779.3012327773747</v>
      </c>
      <c r="E87" s="298">
        <v>1713.5089424170371</v>
      </c>
      <c r="F87" s="298">
        <v>1953.6382413936126</v>
      </c>
      <c r="G87" s="298">
        <v>1561.3480393171235</v>
      </c>
      <c r="H87" s="298">
        <v>1506.2764012409514</v>
      </c>
      <c r="I87" s="298">
        <v>1584.5369599999999</v>
      </c>
      <c r="J87" s="725"/>
      <c r="K87" s="301"/>
      <c r="L87" s="301"/>
      <c r="M87" s="301"/>
      <c r="N87" s="301"/>
      <c r="O87" s="301"/>
      <c r="P87" s="298">
        <f t="shared" si="34"/>
        <v>10098.609817146098</v>
      </c>
      <c r="Q87" s="557">
        <f t="shared" si="35"/>
        <v>1683.1016361910163</v>
      </c>
    </row>
    <row r="88" spans="2:17" s="9" customFormat="1">
      <c r="B88" s="150">
        <v>4</v>
      </c>
      <c r="C88" s="151" t="s">
        <v>597</v>
      </c>
      <c r="D88" s="298">
        <v>876.53094374805755</v>
      </c>
      <c r="E88" s="298">
        <v>862.12058306626693</v>
      </c>
      <c r="F88" s="298">
        <v>973.10526752384897</v>
      </c>
      <c r="G88" s="298">
        <v>715.15099844800829</v>
      </c>
      <c r="H88" s="298">
        <v>690.4385935884178</v>
      </c>
      <c r="I88" s="298">
        <v>783.21896000000004</v>
      </c>
      <c r="J88" s="725"/>
      <c r="K88" s="301"/>
      <c r="L88" s="301"/>
      <c r="M88" s="301"/>
      <c r="N88" s="301"/>
      <c r="O88" s="301"/>
      <c r="P88" s="298">
        <f t="shared" si="34"/>
        <v>4900.5653463745994</v>
      </c>
      <c r="Q88" s="557">
        <f t="shared" si="35"/>
        <v>816.76089106243319</v>
      </c>
    </row>
    <row r="89" spans="2:17" s="9" customFormat="1">
      <c r="B89" s="150">
        <v>5</v>
      </c>
      <c r="C89" s="151" t="s">
        <v>599</v>
      </c>
      <c r="D89" s="298">
        <v>492.67013363721122</v>
      </c>
      <c r="E89" s="298">
        <v>474.0128605396464</v>
      </c>
      <c r="F89" s="298">
        <v>482.34143508917458</v>
      </c>
      <c r="G89" s="298">
        <v>488.874536989136</v>
      </c>
      <c r="H89" s="298">
        <v>484.5250465356774</v>
      </c>
      <c r="I89" s="298">
        <v>465.45643999999999</v>
      </c>
      <c r="J89" s="725"/>
      <c r="K89" s="301"/>
      <c r="L89" s="301"/>
      <c r="M89" s="301"/>
      <c r="N89" s="301"/>
      <c r="O89" s="301"/>
      <c r="P89" s="298">
        <f t="shared" si="34"/>
        <v>2887.8804527908455</v>
      </c>
      <c r="Q89" s="557">
        <f t="shared" si="35"/>
        <v>481.31340879847426</v>
      </c>
    </row>
    <row r="90" spans="2:17" s="9" customFormat="1">
      <c r="B90" s="150">
        <v>6</v>
      </c>
      <c r="C90" s="151" t="s">
        <v>601</v>
      </c>
      <c r="D90" s="298">
        <v>10.739873614420388</v>
      </c>
      <c r="E90" s="298">
        <v>10.382259898687066</v>
      </c>
      <c r="F90" s="298">
        <v>10.749979261717128</v>
      </c>
      <c r="G90" s="298">
        <v>8.4270253491981375</v>
      </c>
      <c r="H90" s="298">
        <v>8.3379524301964842</v>
      </c>
      <c r="I90" s="298">
        <v>7.8349599999999997</v>
      </c>
      <c r="J90" s="725"/>
      <c r="K90" s="301"/>
      <c r="L90" s="301"/>
      <c r="M90" s="301"/>
      <c r="N90" s="301"/>
      <c r="O90" s="301"/>
      <c r="P90" s="298">
        <f t="shared" si="34"/>
        <v>56.472050554219202</v>
      </c>
      <c r="Q90" s="557">
        <f t="shared" si="35"/>
        <v>9.4120084257032008</v>
      </c>
    </row>
    <row r="91" spans="2:17" s="9" customFormat="1">
      <c r="B91" s="150">
        <v>7</v>
      </c>
      <c r="C91" s="151" t="s">
        <v>603</v>
      </c>
      <c r="D91" s="298">
        <v>4.9763596809282085</v>
      </c>
      <c r="E91" s="298">
        <v>5.0507598469967947</v>
      </c>
      <c r="F91" s="298">
        <v>4.929489838241393</v>
      </c>
      <c r="G91" s="298">
        <v>3.9930470770822555</v>
      </c>
      <c r="H91" s="298">
        <v>3.9909410548086868</v>
      </c>
      <c r="I91" s="298">
        <v>4.6853999999999996</v>
      </c>
      <c r="J91" s="725"/>
      <c r="K91" s="301"/>
      <c r="L91" s="301"/>
      <c r="M91" s="301"/>
      <c r="N91" s="301"/>
      <c r="O91" s="301"/>
      <c r="P91" s="298">
        <f t="shared" si="34"/>
        <v>27.625997498057338</v>
      </c>
      <c r="Q91" s="557">
        <f t="shared" si="35"/>
        <v>4.6043329163428899</v>
      </c>
    </row>
    <row r="92" spans="2:17" s="9" customFormat="1">
      <c r="B92" s="150">
        <v>8</v>
      </c>
      <c r="C92" s="151" t="s">
        <v>605</v>
      </c>
      <c r="D92" s="298">
        <v>5.3014399668496832</v>
      </c>
      <c r="E92" s="298">
        <v>5.4171404941589989</v>
      </c>
      <c r="F92" s="298">
        <v>5.400165906262961</v>
      </c>
      <c r="G92" s="298">
        <v>3.9806725297465078</v>
      </c>
      <c r="H92" s="298">
        <v>4.6136091003102377</v>
      </c>
      <c r="I92" s="298">
        <v>10.160600000000001</v>
      </c>
      <c r="J92" s="725"/>
      <c r="K92" s="301"/>
      <c r="L92" s="301"/>
      <c r="M92" s="301"/>
      <c r="N92" s="301"/>
      <c r="O92" s="301"/>
      <c r="P92" s="298">
        <f t="shared" si="34"/>
        <v>34.873627997328384</v>
      </c>
      <c r="Q92" s="557">
        <f t="shared" si="35"/>
        <v>5.8122713328880637</v>
      </c>
    </row>
    <row r="93" spans="2:17" s="9" customFormat="1">
      <c r="B93" s="150">
        <v>9</v>
      </c>
      <c r="C93" s="151" t="s">
        <v>607</v>
      </c>
      <c r="D93" s="298">
        <v>6.5137470216512998</v>
      </c>
      <c r="E93" s="298">
        <v>6.6005582549364208</v>
      </c>
      <c r="F93" s="298">
        <v>8.8130651182082129</v>
      </c>
      <c r="G93" s="298">
        <v>10.598282462493533</v>
      </c>
      <c r="H93" s="298">
        <v>9.1325749741468467</v>
      </c>
      <c r="I93" s="298">
        <v>5.2069599999999996</v>
      </c>
      <c r="J93" s="725"/>
      <c r="K93" s="301"/>
      <c r="L93" s="301"/>
      <c r="M93" s="301"/>
      <c r="N93" s="301"/>
      <c r="O93" s="301"/>
      <c r="P93" s="298">
        <f t="shared" si="34"/>
        <v>46.865187831436323</v>
      </c>
      <c r="Q93" s="557">
        <f t="shared" si="35"/>
        <v>7.8108646385727205</v>
      </c>
    </row>
    <row r="94" spans="2:17" s="9" customFormat="1">
      <c r="B94" s="150">
        <v>10</v>
      </c>
      <c r="C94" s="151" t="s">
        <v>609</v>
      </c>
      <c r="D94" s="298">
        <v>14.761835698746502</v>
      </c>
      <c r="E94" s="298">
        <v>14.749508942417037</v>
      </c>
      <c r="F94" s="298">
        <v>16.637080049771878</v>
      </c>
      <c r="G94" s="298">
        <v>12.661769270563891</v>
      </c>
      <c r="H94" s="298">
        <v>11.894105480868665</v>
      </c>
      <c r="I94" s="298">
        <v>7.4187200000000004</v>
      </c>
      <c r="J94" s="725"/>
      <c r="K94" s="301"/>
      <c r="L94" s="301"/>
      <c r="M94" s="301"/>
      <c r="N94" s="301"/>
      <c r="O94" s="301"/>
      <c r="P94" s="298">
        <f t="shared" si="34"/>
        <v>78.123019442367962</v>
      </c>
      <c r="Q94" s="557">
        <f t="shared" si="35"/>
        <v>13.02050324039466</v>
      </c>
    </row>
    <row r="95" spans="2:17" s="9" customFormat="1">
      <c r="B95" s="150">
        <v>11</v>
      </c>
      <c r="C95" s="151" t="s">
        <v>611</v>
      </c>
      <c r="D95" s="298">
        <v>10.963472495597223</v>
      </c>
      <c r="E95" s="298">
        <v>10.820427995451254</v>
      </c>
      <c r="F95" s="298">
        <v>9.8502695976773111</v>
      </c>
      <c r="G95" s="298">
        <v>6.3287325400931191</v>
      </c>
      <c r="H95" s="298">
        <v>6.2121199586349531</v>
      </c>
      <c r="I95" s="298">
        <v>0.53708</v>
      </c>
      <c r="J95" s="725"/>
      <c r="K95" s="301"/>
      <c r="L95" s="301"/>
      <c r="M95" s="301"/>
      <c r="N95" s="301"/>
      <c r="O95" s="301"/>
      <c r="P95" s="298">
        <f t="shared" si="34"/>
        <v>44.712102587453863</v>
      </c>
      <c r="Q95" s="557">
        <f t="shared" si="35"/>
        <v>7.4520170979089775</v>
      </c>
    </row>
    <row r="96" spans="2:17" s="9" customFormat="1">
      <c r="B96" s="150">
        <v>12</v>
      </c>
      <c r="C96" s="151" t="s">
        <v>613</v>
      </c>
      <c r="D96" s="298">
        <v>6.5577955039883973</v>
      </c>
      <c r="E96" s="298">
        <v>6.5793032151349111</v>
      </c>
      <c r="F96" s="298">
        <v>5.9480713396930733</v>
      </c>
      <c r="G96" s="298">
        <v>4.3631246766683915</v>
      </c>
      <c r="H96" s="298">
        <v>4.4445087900723887</v>
      </c>
      <c r="I96" s="298">
        <v>4.5672800000000002</v>
      </c>
      <c r="J96" s="725"/>
      <c r="K96" s="301"/>
      <c r="L96" s="301"/>
      <c r="M96" s="301"/>
      <c r="N96" s="301"/>
      <c r="O96" s="301"/>
      <c r="P96" s="298">
        <f t="shared" si="34"/>
        <v>32.460083525557167</v>
      </c>
      <c r="Q96" s="557">
        <f t="shared" si="35"/>
        <v>5.4100139209261942</v>
      </c>
    </row>
    <row r="97" spans="2:17" s="9" customFormat="1">
      <c r="B97" s="150">
        <v>13</v>
      </c>
      <c r="C97" s="151" t="s">
        <v>615</v>
      </c>
      <c r="D97" s="298">
        <v>1.0027970579094581</v>
      </c>
      <c r="E97" s="298">
        <v>0.60374237568489608</v>
      </c>
      <c r="F97" s="298">
        <v>0.96225632517627546</v>
      </c>
      <c r="G97" s="298">
        <v>0.80289705121572685</v>
      </c>
      <c r="H97" s="298">
        <v>0.91416752843846949</v>
      </c>
      <c r="I97" s="298">
        <v>12.767200000000001</v>
      </c>
      <c r="J97" s="725"/>
      <c r="K97" s="301"/>
      <c r="L97" s="301"/>
      <c r="M97" s="301"/>
      <c r="N97" s="301"/>
      <c r="O97" s="301"/>
      <c r="P97" s="298">
        <f t="shared" si="34"/>
        <v>17.053060338424828</v>
      </c>
      <c r="Q97" s="557">
        <f t="shared" si="35"/>
        <v>2.8421767230708048</v>
      </c>
    </row>
    <row r="98" spans="2:17" s="9" customFormat="1">
      <c r="B98" s="150">
        <v>14</v>
      </c>
      <c r="C98" s="151" t="s">
        <v>617</v>
      </c>
      <c r="D98" s="298">
        <v>0.63300528333160677</v>
      </c>
      <c r="E98" s="298">
        <v>0.64339915227954103</v>
      </c>
      <c r="F98" s="298">
        <v>0.62285358772293653</v>
      </c>
      <c r="G98" s="298">
        <v>0.42321779617175376</v>
      </c>
      <c r="H98" s="298">
        <v>0.43871768355739404</v>
      </c>
      <c r="I98" s="298">
        <v>0.748</v>
      </c>
      <c r="J98" s="725"/>
      <c r="K98" s="301"/>
      <c r="L98" s="301"/>
      <c r="M98" s="301"/>
      <c r="N98" s="301"/>
      <c r="O98" s="301"/>
      <c r="P98" s="298">
        <f t="shared" si="34"/>
        <v>3.5091935030632326</v>
      </c>
      <c r="Q98" s="557">
        <f t="shared" si="35"/>
        <v>0.58486558384387211</v>
      </c>
    </row>
    <row r="99" spans="2:17" s="9" customFormat="1">
      <c r="B99" s="150">
        <v>15</v>
      </c>
      <c r="C99" s="151" t="s">
        <v>619</v>
      </c>
      <c r="D99" s="298">
        <v>23.546669429192999</v>
      </c>
      <c r="E99" s="298">
        <v>30.1926599813915</v>
      </c>
      <c r="F99" s="298">
        <v>31.095810866860223</v>
      </c>
      <c r="G99" s="298">
        <v>13.432343507501292</v>
      </c>
      <c r="H99" s="298">
        <v>17.222750775594623</v>
      </c>
      <c r="I99" s="298">
        <v>30.664680000000001</v>
      </c>
      <c r="J99" s="725"/>
      <c r="K99" s="301"/>
      <c r="L99" s="301"/>
      <c r="M99" s="301"/>
      <c r="N99" s="301"/>
      <c r="O99" s="301"/>
      <c r="P99" s="298">
        <f t="shared" si="34"/>
        <v>146.15491456054062</v>
      </c>
      <c r="Q99" s="557">
        <f t="shared" si="35"/>
        <v>24.359152426756769</v>
      </c>
    </row>
    <row r="100" spans="2:17" s="9" customFormat="1">
      <c r="B100" s="150">
        <v>16</v>
      </c>
      <c r="C100" s="151" t="s">
        <v>620</v>
      </c>
      <c r="D100" s="298">
        <v>0</v>
      </c>
      <c r="E100" s="298">
        <v>0</v>
      </c>
      <c r="F100" s="298">
        <v>0</v>
      </c>
      <c r="G100" s="298">
        <v>13.988618727366786</v>
      </c>
      <c r="H100" s="298">
        <v>14.064115822130299</v>
      </c>
      <c r="I100" s="298">
        <v>15.24</v>
      </c>
      <c r="J100" s="725"/>
      <c r="K100" s="301"/>
      <c r="L100" s="301"/>
      <c r="M100" s="301"/>
      <c r="N100" s="301"/>
      <c r="O100" s="301"/>
      <c r="P100" s="298">
        <f t="shared" si="34"/>
        <v>43.292734549497084</v>
      </c>
      <c r="Q100" s="557">
        <f t="shared" si="35"/>
        <v>7.2154557582495142</v>
      </c>
    </row>
    <row r="101" spans="2:17" s="9" customFormat="1">
      <c r="B101" s="150">
        <v>17</v>
      </c>
      <c r="C101" s="151" t="s">
        <v>621</v>
      </c>
      <c r="D101" s="298">
        <v>0</v>
      </c>
      <c r="E101" s="298">
        <v>0</v>
      </c>
      <c r="F101" s="298">
        <v>0</v>
      </c>
      <c r="G101" s="298">
        <v>9.891360579410243</v>
      </c>
      <c r="H101" s="298">
        <v>9.7207859358841784</v>
      </c>
      <c r="I101" s="298">
        <v>10.32</v>
      </c>
      <c r="J101" s="725"/>
      <c r="K101" s="301"/>
      <c r="L101" s="301"/>
      <c r="M101" s="301"/>
      <c r="N101" s="301"/>
      <c r="O101" s="301"/>
      <c r="P101" s="298">
        <f t="shared" si="34"/>
        <v>29.93214651529442</v>
      </c>
      <c r="Q101" s="557">
        <f t="shared" si="35"/>
        <v>4.9886910858824036</v>
      </c>
    </row>
    <row r="102" spans="2:17" s="9" customFormat="1">
      <c r="B102" s="150">
        <v>18</v>
      </c>
      <c r="C102" s="151" t="s">
        <v>673</v>
      </c>
      <c r="D102" s="298">
        <v>0</v>
      </c>
      <c r="E102" s="298">
        <v>0</v>
      </c>
      <c r="F102" s="298">
        <v>0</v>
      </c>
      <c r="G102" s="298">
        <v>0</v>
      </c>
      <c r="H102" s="298">
        <v>0</v>
      </c>
      <c r="I102" s="298">
        <v>0</v>
      </c>
      <c r="J102" s="301"/>
      <c r="K102" s="301"/>
      <c r="L102" s="301"/>
      <c r="M102" s="301"/>
      <c r="N102" s="301"/>
      <c r="O102" s="301"/>
      <c r="P102" s="298">
        <f t="shared" si="34"/>
        <v>0</v>
      </c>
      <c r="Q102" s="557">
        <f t="shared" si="35"/>
        <v>0</v>
      </c>
    </row>
    <row r="103" spans="2:17" s="9" customFormat="1">
      <c r="B103" s="150">
        <v>19</v>
      </c>
      <c r="C103" s="151" t="s">
        <v>674</v>
      </c>
      <c r="D103" s="298">
        <v>0</v>
      </c>
      <c r="E103" s="298">
        <v>0</v>
      </c>
      <c r="F103" s="298">
        <v>0</v>
      </c>
      <c r="G103" s="298">
        <v>0</v>
      </c>
      <c r="H103" s="298">
        <v>0</v>
      </c>
      <c r="I103" s="298">
        <v>0</v>
      </c>
      <c r="J103" s="301"/>
      <c r="K103" s="301"/>
      <c r="L103" s="301"/>
      <c r="M103" s="301"/>
      <c r="N103" s="301"/>
      <c r="O103" s="301"/>
      <c r="P103" s="298">
        <f t="shared" si="34"/>
        <v>0</v>
      </c>
      <c r="Q103" s="557">
        <f t="shared" si="35"/>
        <v>0</v>
      </c>
    </row>
    <row r="104" spans="2:17" s="9" customFormat="1">
      <c r="B104" s="150"/>
      <c r="C104" s="299" t="s">
        <v>219</v>
      </c>
      <c r="D104" s="300">
        <f>SUM(D85:D103)</f>
        <v>28069.466487102458</v>
      </c>
      <c r="E104" s="300">
        <f t="shared" ref="E104:I104" si="36">SUM(E85:E103)</f>
        <v>27707.393404321301</v>
      </c>
      <c r="F104" s="300">
        <f t="shared" si="36"/>
        <v>27658.75317295728</v>
      </c>
      <c r="G104" s="300">
        <f t="shared" si="36"/>
        <v>24244.840103466115</v>
      </c>
      <c r="H104" s="300">
        <f t="shared" si="36"/>
        <v>24176.891251292662</v>
      </c>
      <c r="I104" s="300">
        <f t="shared" si="36"/>
        <v>23960.98288</v>
      </c>
      <c r="J104" s="301"/>
      <c r="K104" s="301"/>
      <c r="L104" s="301"/>
      <c r="M104" s="301"/>
      <c r="N104" s="301"/>
      <c r="O104" s="301"/>
      <c r="P104" s="300">
        <f>SUM(P85:P103)</f>
        <v>155818.32729913981</v>
      </c>
      <c r="Q104" s="300">
        <f>SUM(Q85:Q103)</f>
        <v>25969.721216523307</v>
      </c>
    </row>
    <row r="105" spans="2:17" s="9" customFormat="1"/>
    <row r="106" spans="2:17" s="9" customFormat="1">
      <c r="B106" s="8" t="s">
        <v>675</v>
      </c>
    </row>
    <row r="107" spans="2:17" s="9" customFormat="1">
      <c r="P107" s="7" t="s">
        <v>672</v>
      </c>
    </row>
    <row r="108" spans="2:17">
      <c r="B108" s="149" t="s">
        <v>2</v>
      </c>
      <c r="C108" s="140" t="s">
        <v>53</v>
      </c>
      <c r="D108" s="141" t="s">
        <v>577</v>
      </c>
      <c r="E108" s="141" t="s">
        <v>578</v>
      </c>
      <c r="F108" s="141" t="s">
        <v>579</v>
      </c>
      <c r="G108" s="141" t="s">
        <v>580</v>
      </c>
      <c r="H108" s="141" t="s">
        <v>581</v>
      </c>
      <c r="I108" s="141" t="s">
        <v>582</v>
      </c>
      <c r="J108" s="141" t="s">
        <v>583</v>
      </c>
      <c r="K108" s="141" t="s">
        <v>584</v>
      </c>
      <c r="L108" s="141" t="s">
        <v>585</v>
      </c>
      <c r="M108" s="141" t="s">
        <v>586</v>
      </c>
      <c r="N108" s="141" t="s">
        <v>587</v>
      </c>
      <c r="O108" s="141" t="s">
        <v>588</v>
      </c>
      <c r="P108" s="141" t="s">
        <v>219</v>
      </c>
      <c r="Q108" s="263" t="s">
        <v>648</v>
      </c>
    </row>
    <row r="109" spans="2:17" s="9" customFormat="1">
      <c r="B109" s="150">
        <v>1</v>
      </c>
      <c r="C109" s="151" t="s">
        <v>591</v>
      </c>
      <c r="D109" s="298">
        <v>23828.224759142235</v>
      </c>
      <c r="E109" s="298">
        <v>23611.241600330814</v>
      </c>
      <c r="F109" s="298">
        <v>23328.901451679802</v>
      </c>
      <c r="G109" s="298">
        <v>20533.157620279359</v>
      </c>
      <c r="H109" s="298">
        <v>20668.302254395036</v>
      </c>
      <c r="I109" s="366">
        <v>20104.804599999999</v>
      </c>
      <c r="J109" s="301"/>
      <c r="K109" s="301"/>
      <c r="L109" s="301"/>
      <c r="M109" s="301"/>
      <c r="N109" s="301"/>
      <c r="O109" s="301"/>
      <c r="P109" s="298">
        <f>SUM(D109:O109)</f>
        <v>132074.63228582725</v>
      </c>
      <c r="Q109" s="557">
        <f>IFERROR(AVERAGE(D109:O109),0)</f>
        <v>22012.438714304542</v>
      </c>
    </row>
    <row r="110" spans="2:17" s="9" customFormat="1">
      <c r="B110" s="150">
        <v>2</v>
      </c>
      <c r="C110" s="151" t="s">
        <v>593</v>
      </c>
      <c r="D110" s="298">
        <v>1025.8300631927898</v>
      </c>
      <c r="E110" s="298">
        <v>1041.4704021503153</v>
      </c>
      <c r="F110" s="298">
        <v>1056.4356698465367</v>
      </c>
      <c r="G110" s="298">
        <v>1005.9826176927056</v>
      </c>
      <c r="H110" s="298">
        <v>990.21617373319543</v>
      </c>
      <c r="I110" s="366">
        <v>939.81575999999995</v>
      </c>
      <c r="J110" s="301"/>
      <c r="K110" s="301"/>
      <c r="L110" s="301"/>
      <c r="M110" s="301"/>
      <c r="N110" s="301"/>
      <c r="O110" s="301"/>
      <c r="P110" s="298">
        <f t="shared" ref="P110:P127" si="37">SUM(D110:O110)</f>
        <v>6059.7506866155436</v>
      </c>
      <c r="Q110" s="557">
        <f t="shared" ref="Q110:Q127" si="38">IFERROR(AVERAGE(D110:O110),0)</f>
        <v>1009.9584477692573</v>
      </c>
    </row>
    <row r="111" spans="2:17" s="9" customFormat="1">
      <c r="B111" s="150">
        <v>3</v>
      </c>
      <c r="C111" s="151" t="s">
        <v>595</v>
      </c>
      <c r="D111" s="298">
        <v>1879.8097586242618</v>
      </c>
      <c r="E111" s="298">
        <v>2077.4941383231676</v>
      </c>
      <c r="F111" s="298">
        <v>2049.4456242223141</v>
      </c>
      <c r="G111" s="298">
        <v>1737.6124987066735</v>
      </c>
      <c r="H111" s="298">
        <v>1732.4276732161325</v>
      </c>
      <c r="I111" s="366">
        <v>1673.63744</v>
      </c>
      <c r="J111" s="301"/>
      <c r="K111" s="301"/>
      <c r="L111" s="301"/>
      <c r="M111" s="301"/>
      <c r="N111" s="301"/>
      <c r="O111" s="301"/>
      <c r="P111" s="298">
        <f t="shared" si="37"/>
        <v>11150.427133092549</v>
      </c>
      <c r="Q111" s="557">
        <f t="shared" si="38"/>
        <v>1858.4045221820916</v>
      </c>
    </row>
    <row r="112" spans="2:17" s="9" customFormat="1">
      <c r="B112" s="150">
        <v>4</v>
      </c>
      <c r="C112" s="151" t="s">
        <v>597</v>
      </c>
      <c r="D112" s="298">
        <v>926.50757277530295</v>
      </c>
      <c r="E112" s="298">
        <v>996.36691822598982</v>
      </c>
      <c r="F112" s="298">
        <v>995.74458730817082</v>
      </c>
      <c r="G112" s="298">
        <v>891.62938437661671</v>
      </c>
      <c r="H112" s="298">
        <v>844.90448810754913</v>
      </c>
      <c r="I112" s="366">
        <v>818.90247999999997</v>
      </c>
      <c r="J112" s="301"/>
      <c r="K112" s="301"/>
      <c r="L112" s="301"/>
      <c r="M112" s="301"/>
      <c r="N112" s="301"/>
      <c r="O112" s="301"/>
      <c r="P112" s="298">
        <f t="shared" si="37"/>
        <v>5474.0554307936291</v>
      </c>
      <c r="Q112" s="557">
        <f t="shared" si="38"/>
        <v>912.34257179893814</v>
      </c>
    </row>
    <row r="113" spans="2:17" s="9" customFormat="1">
      <c r="B113" s="150">
        <v>5</v>
      </c>
      <c r="C113" s="151" t="s">
        <v>599</v>
      </c>
      <c r="D113" s="298">
        <v>538.95012949342174</v>
      </c>
      <c r="E113" s="298">
        <v>568.87067093972905</v>
      </c>
      <c r="F113" s="298">
        <v>573.17897138116962</v>
      </c>
      <c r="G113" s="298">
        <v>536.00455250905327</v>
      </c>
      <c r="H113" s="298">
        <v>558.47023784901751</v>
      </c>
      <c r="I113" s="366">
        <v>544.8288</v>
      </c>
      <c r="J113" s="301"/>
      <c r="K113" s="301"/>
      <c r="L113" s="301"/>
      <c r="M113" s="301"/>
      <c r="N113" s="301"/>
      <c r="O113" s="301"/>
      <c r="P113" s="298">
        <f t="shared" si="37"/>
        <v>3320.3033621723907</v>
      </c>
      <c r="Q113" s="557">
        <f t="shared" si="38"/>
        <v>553.38389369539846</v>
      </c>
    </row>
    <row r="114" spans="2:17" s="9" customFormat="1">
      <c r="B114" s="150">
        <v>6</v>
      </c>
      <c r="C114" s="151" t="s">
        <v>601</v>
      </c>
      <c r="D114" s="298">
        <v>11.945467730239304</v>
      </c>
      <c r="E114" s="298">
        <v>11.844308901064819</v>
      </c>
      <c r="F114" s="298">
        <v>11.086644545831605</v>
      </c>
      <c r="G114" s="298">
        <v>10.067915157785825</v>
      </c>
      <c r="H114" s="298">
        <v>9.5921406411582222</v>
      </c>
      <c r="I114" s="366">
        <v>9.52196</v>
      </c>
      <c r="J114" s="301"/>
      <c r="K114" s="301"/>
      <c r="L114" s="301"/>
      <c r="M114" s="301"/>
      <c r="N114" s="301"/>
      <c r="O114" s="301"/>
      <c r="P114" s="298">
        <f t="shared" si="37"/>
        <v>64.058436976079776</v>
      </c>
      <c r="Q114" s="557">
        <f t="shared" si="38"/>
        <v>10.676406162679962</v>
      </c>
    </row>
    <row r="115" spans="2:17" s="9" customFormat="1">
      <c r="B115" s="150">
        <v>7</v>
      </c>
      <c r="C115" s="151" t="s">
        <v>603</v>
      </c>
      <c r="D115" s="298">
        <v>5.3259297627680509</v>
      </c>
      <c r="E115" s="298">
        <v>5.6939108859712597</v>
      </c>
      <c r="F115" s="298">
        <v>5.9469929489838247</v>
      </c>
      <c r="G115" s="298">
        <v>5.2278116916709774</v>
      </c>
      <c r="H115" s="298">
        <v>5.2865356773526369</v>
      </c>
      <c r="I115" s="366">
        <v>5.0913199999999996</v>
      </c>
      <c r="J115" s="301"/>
      <c r="K115" s="301"/>
      <c r="L115" s="301"/>
      <c r="M115" s="301"/>
      <c r="N115" s="301"/>
      <c r="O115" s="301"/>
      <c r="P115" s="298">
        <f t="shared" si="37"/>
        <v>32.572500966746759</v>
      </c>
      <c r="Q115" s="557">
        <f t="shared" si="38"/>
        <v>5.4287501611244595</v>
      </c>
    </row>
    <row r="116" spans="2:17" s="9" customFormat="1">
      <c r="B116" s="150">
        <v>8</v>
      </c>
      <c r="C116" s="151" t="s">
        <v>605</v>
      </c>
      <c r="D116" s="298">
        <v>5.7942608515487413</v>
      </c>
      <c r="E116" s="298">
        <v>5.7986974051483502</v>
      </c>
      <c r="F116" s="298">
        <v>5.6546246370800493</v>
      </c>
      <c r="G116" s="298">
        <v>5.3532540093119501</v>
      </c>
      <c r="H116" s="298">
        <v>5.9820062047569804</v>
      </c>
      <c r="I116" s="366">
        <v>5.9807600000000001</v>
      </c>
      <c r="J116" s="301"/>
      <c r="K116" s="301"/>
      <c r="L116" s="301"/>
      <c r="M116" s="301"/>
      <c r="N116" s="301"/>
      <c r="O116" s="301"/>
      <c r="P116" s="298">
        <f t="shared" si="37"/>
        <v>34.563603107846077</v>
      </c>
      <c r="Q116" s="557">
        <f t="shared" si="38"/>
        <v>5.7606005179743462</v>
      </c>
    </row>
    <row r="117" spans="2:17" s="9" customFormat="1">
      <c r="B117" s="150">
        <v>9</v>
      </c>
      <c r="C117" s="151" t="s">
        <v>607</v>
      </c>
      <c r="D117" s="298">
        <v>6.7373459028281362</v>
      </c>
      <c r="E117" s="298">
        <v>8.5485371653054898</v>
      </c>
      <c r="F117" s="298">
        <v>11.761302364164246</v>
      </c>
      <c r="G117" s="298">
        <v>12.728525607863425</v>
      </c>
      <c r="H117" s="298">
        <v>12.073671147880042</v>
      </c>
      <c r="I117" s="366">
        <v>10.807399999999999</v>
      </c>
      <c r="J117" s="301"/>
      <c r="K117" s="301"/>
      <c r="L117" s="301"/>
      <c r="M117" s="301"/>
      <c r="N117" s="301"/>
      <c r="O117" s="301"/>
      <c r="P117" s="298">
        <f t="shared" si="37"/>
        <v>62.65678218804134</v>
      </c>
      <c r="Q117" s="557">
        <f t="shared" si="38"/>
        <v>10.442797031340223</v>
      </c>
    </row>
    <row r="118" spans="2:17" s="9" customFormat="1">
      <c r="B118" s="150">
        <v>10</v>
      </c>
      <c r="C118" s="151" t="s">
        <v>609</v>
      </c>
      <c r="D118" s="298">
        <v>16.158292758727857</v>
      </c>
      <c r="E118" s="298">
        <v>18.210689548227023</v>
      </c>
      <c r="F118" s="298">
        <v>18.428038158440479</v>
      </c>
      <c r="G118" s="298">
        <v>15.864252457320228</v>
      </c>
      <c r="H118" s="298">
        <v>15.499482936918303</v>
      </c>
      <c r="I118" s="366">
        <v>15.4008</v>
      </c>
      <c r="J118" s="301"/>
      <c r="K118" s="301"/>
      <c r="L118" s="301"/>
      <c r="M118" s="301"/>
      <c r="N118" s="301"/>
      <c r="O118" s="301"/>
      <c r="P118" s="298">
        <f t="shared" si="37"/>
        <v>99.561555859633884</v>
      </c>
      <c r="Q118" s="557">
        <f t="shared" si="38"/>
        <v>16.593592643272313</v>
      </c>
    </row>
    <row r="119" spans="2:17" s="9" customFormat="1">
      <c r="B119" s="150">
        <v>11</v>
      </c>
      <c r="C119" s="151" t="s">
        <v>611</v>
      </c>
      <c r="D119" s="298">
        <v>11.146835180772817</v>
      </c>
      <c r="E119" s="298">
        <v>11.221296392019021</v>
      </c>
      <c r="F119" s="298">
        <v>10.441310659477395</v>
      </c>
      <c r="G119" s="298">
        <v>8.6128504914640462</v>
      </c>
      <c r="H119" s="298">
        <v>8.8797518097207853</v>
      </c>
      <c r="I119" s="366">
        <v>8.2819599999999998</v>
      </c>
      <c r="J119" s="301"/>
      <c r="K119" s="301"/>
      <c r="L119" s="301"/>
      <c r="M119" s="301"/>
      <c r="N119" s="301"/>
      <c r="O119" s="301"/>
      <c r="P119" s="298">
        <f t="shared" si="37"/>
        <v>58.584004533454063</v>
      </c>
      <c r="Q119" s="557">
        <f t="shared" si="38"/>
        <v>9.7640007555756778</v>
      </c>
    </row>
    <row r="120" spans="2:17" s="9" customFormat="1">
      <c r="B120" s="150">
        <v>12</v>
      </c>
      <c r="C120" s="151" t="s">
        <v>613</v>
      </c>
      <c r="D120" s="298">
        <v>6.9004040194758103</v>
      </c>
      <c r="E120" s="298">
        <v>6.9935697301767803</v>
      </c>
      <c r="F120" s="298">
        <v>6.2722521775197011</v>
      </c>
      <c r="G120" s="298">
        <v>5.6950646663217794</v>
      </c>
      <c r="H120" s="298">
        <v>5.9191726990692866</v>
      </c>
      <c r="I120" s="366">
        <v>5.97776</v>
      </c>
      <c r="J120" s="301"/>
      <c r="K120" s="301"/>
      <c r="L120" s="301"/>
      <c r="M120" s="301"/>
      <c r="N120" s="301"/>
      <c r="O120" s="301"/>
      <c r="P120" s="298">
        <f t="shared" si="37"/>
        <v>37.758223292563358</v>
      </c>
      <c r="Q120" s="557">
        <f t="shared" si="38"/>
        <v>6.2930372154272263</v>
      </c>
    </row>
    <row r="121" spans="2:17" s="9" customFormat="1">
      <c r="B121" s="150">
        <v>13</v>
      </c>
      <c r="C121" s="151" t="s">
        <v>615</v>
      </c>
      <c r="D121" s="298">
        <v>1.2182741116751268</v>
      </c>
      <c r="E121" s="298">
        <v>1.2281608601261242</v>
      </c>
      <c r="F121" s="298">
        <v>1.2235586893405226</v>
      </c>
      <c r="G121" s="298">
        <v>1.2664252457320226</v>
      </c>
      <c r="H121" s="298">
        <v>1.3071354705274043</v>
      </c>
      <c r="I121" s="366">
        <v>1.3640000000000001</v>
      </c>
      <c r="J121" s="301"/>
      <c r="K121" s="301"/>
      <c r="L121" s="301"/>
      <c r="M121" s="301"/>
      <c r="N121" s="301"/>
      <c r="O121" s="301"/>
      <c r="P121" s="298">
        <f t="shared" si="37"/>
        <v>7.6075543774012004</v>
      </c>
      <c r="Q121" s="557">
        <f t="shared" si="38"/>
        <v>1.2679257295668667</v>
      </c>
    </row>
    <row r="122" spans="2:17" s="9" customFormat="1">
      <c r="B122" s="150">
        <v>14</v>
      </c>
      <c r="C122" s="151" t="s">
        <v>617</v>
      </c>
      <c r="D122" s="298">
        <v>0.76900445457370759</v>
      </c>
      <c r="E122" s="298">
        <v>0.74082497673937764</v>
      </c>
      <c r="F122" s="298">
        <v>0.72762339278307753</v>
      </c>
      <c r="G122" s="298">
        <v>0.6879668908432488</v>
      </c>
      <c r="H122" s="298">
        <v>0.68517063081695972</v>
      </c>
      <c r="I122" s="366">
        <v>0.64580000000000004</v>
      </c>
      <c r="J122" s="301"/>
      <c r="K122" s="301"/>
      <c r="L122" s="301"/>
      <c r="M122" s="301"/>
      <c r="N122" s="301"/>
      <c r="O122" s="301"/>
      <c r="P122" s="298">
        <f t="shared" si="37"/>
        <v>4.2563903457563717</v>
      </c>
      <c r="Q122" s="557">
        <f t="shared" si="38"/>
        <v>0.70939839095939528</v>
      </c>
    </row>
    <row r="123" spans="2:17" s="9" customFormat="1">
      <c r="B123" s="150">
        <v>15</v>
      </c>
      <c r="C123" s="151" t="s">
        <v>619</v>
      </c>
      <c r="D123" s="298">
        <v>33.507427742670671</v>
      </c>
      <c r="E123" s="298">
        <v>33.522257831076189</v>
      </c>
      <c r="F123" s="298">
        <v>33.671422646204896</v>
      </c>
      <c r="G123" s="298">
        <v>32.82218313502328</v>
      </c>
      <c r="H123" s="298">
        <v>32.780889348500516</v>
      </c>
      <c r="I123" s="366">
        <v>31.901160000000001</v>
      </c>
      <c r="J123" s="301"/>
      <c r="K123" s="301"/>
      <c r="L123" s="301"/>
      <c r="M123" s="301"/>
      <c r="N123" s="301"/>
      <c r="O123" s="301"/>
      <c r="P123" s="298">
        <f t="shared" si="37"/>
        <v>198.20534070347554</v>
      </c>
      <c r="Q123" s="557">
        <f t="shared" si="38"/>
        <v>33.034223450579255</v>
      </c>
    </row>
    <row r="124" spans="2:17" s="9" customFormat="1">
      <c r="B124" s="150">
        <v>16</v>
      </c>
      <c r="C124" s="151" t="s">
        <v>620</v>
      </c>
      <c r="D124" s="298">
        <v>0</v>
      </c>
      <c r="E124" s="298">
        <v>0</v>
      </c>
      <c r="F124" s="298">
        <v>0</v>
      </c>
      <c r="G124" s="298">
        <v>16.117868598034143</v>
      </c>
      <c r="H124" s="298">
        <v>16.215098241985523</v>
      </c>
      <c r="I124" s="366">
        <v>15.88</v>
      </c>
      <c r="J124" s="301"/>
      <c r="K124" s="301"/>
      <c r="L124" s="301"/>
      <c r="M124" s="301"/>
      <c r="N124" s="301"/>
      <c r="O124" s="301"/>
      <c r="P124" s="298">
        <f t="shared" si="37"/>
        <v>48.212966840019668</v>
      </c>
      <c r="Q124" s="557">
        <f t="shared" si="38"/>
        <v>8.0354944733366107</v>
      </c>
    </row>
    <row r="125" spans="2:17" s="9" customFormat="1">
      <c r="B125" s="150">
        <v>17</v>
      </c>
      <c r="C125" s="151" t="s">
        <v>621</v>
      </c>
      <c r="D125" s="298">
        <v>0</v>
      </c>
      <c r="E125" s="298">
        <v>0</v>
      </c>
      <c r="F125" s="298">
        <v>0</v>
      </c>
      <c r="G125" s="298">
        <v>11.464045525090533</v>
      </c>
      <c r="H125" s="298">
        <v>11.416752843846949</v>
      </c>
      <c r="I125" s="366">
        <v>11.04</v>
      </c>
      <c r="J125" s="301"/>
      <c r="K125" s="301"/>
      <c r="L125" s="301"/>
      <c r="M125" s="301"/>
      <c r="N125" s="301"/>
      <c r="O125" s="301"/>
      <c r="P125" s="298">
        <f t="shared" si="37"/>
        <v>33.920798368937483</v>
      </c>
      <c r="Q125" s="557">
        <f t="shared" si="38"/>
        <v>5.6534663948229138</v>
      </c>
    </row>
    <row r="126" spans="2:17" s="9" customFormat="1">
      <c r="B126" s="150">
        <v>18</v>
      </c>
      <c r="C126" s="151" t="s">
        <v>673</v>
      </c>
      <c r="D126" s="298">
        <v>0</v>
      </c>
      <c r="E126" s="298">
        <v>0</v>
      </c>
      <c r="F126" s="298">
        <v>0</v>
      </c>
      <c r="G126" s="298">
        <v>0</v>
      </c>
      <c r="H126" s="298">
        <v>0</v>
      </c>
      <c r="I126" s="298">
        <v>0</v>
      </c>
      <c r="J126" s="301"/>
      <c r="K126" s="301"/>
      <c r="L126" s="301"/>
      <c r="M126" s="301"/>
      <c r="N126" s="301"/>
      <c r="O126" s="301"/>
      <c r="P126" s="298">
        <f t="shared" si="37"/>
        <v>0</v>
      </c>
      <c r="Q126" s="557">
        <f t="shared" si="38"/>
        <v>0</v>
      </c>
    </row>
    <row r="127" spans="2:17" s="9" customFormat="1">
      <c r="B127" s="150">
        <v>19</v>
      </c>
      <c r="C127" s="151" t="s">
        <v>674</v>
      </c>
      <c r="D127" s="298">
        <v>0</v>
      </c>
      <c r="E127" s="298">
        <v>0</v>
      </c>
      <c r="F127" s="298">
        <v>0</v>
      </c>
      <c r="G127" s="298">
        <v>0</v>
      </c>
      <c r="H127" s="298">
        <v>0</v>
      </c>
      <c r="I127" s="298">
        <v>0</v>
      </c>
      <c r="J127" s="301"/>
      <c r="K127" s="301"/>
      <c r="L127" s="301"/>
      <c r="M127" s="301"/>
      <c r="N127" s="301"/>
      <c r="O127" s="301"/>
      <c r="P127" s="298">
        <f t="shared" si="37"/>
        <v>0</v>
      </c>
      <c r="Q127" s="557">
        <f t="shared" si="38"/>
        <v>0</v>
      </c>
    </row>
    <row r="128" spans="2:17" s="9" customFormat="1">
      <c r="B128" s="150"/>
      <c r="C128" s="299" t="s">
        <v>219</v>
      </c>
      <c r="D128" s="300">
        <f>SUM(D109:D127)</f>
        <v>28298.82552574329</v>
      </c>
      <c r="E128" s="300">
        <f t="shared" ref="E128:I128" si="39">SUM(E109:E127)</f>
        <v>28399.245983665871</v>
      </c>
      <c r="F128" s="300">
        <f t="shared" si="39"/>
        <v>28108.920074657821</v>
      </c>
      <c r="G128" s="300">
        <f t="shared" si="39"/>
        <v>24830.29483704087</v>
      </c>
      <c r="H128" s="300">
        <f t="shared" si="39"/>
        <v>24919.958634953462</v>
      </c>
      <c r="I128" s="300">
        <f t="shared" si="39"/>
        <v>24203.882000000001</v>
      </c>
      <c r="J128" s="301"/>
      <c r="K128" s="301"/>
      <c r="L128" s="301"/>
      <c r="M128" s="301"/>
      <c r="N128" s="301"/>
      <c r="O128" s="301"/>
      <c r="P128" s="298">
        <f>SUM(P109:P127)</f>
        <v>158761.12705606129</v>
      </c>
      <c r="Q128" s="300">
        <f>SUM(Q109:Q127)</f>
        <v>26460.187842676885</v>
      </c>
    </row>
    <row r="130" spans="2:17">
      <c r="B130" s="8" t="s">
        <v>676</v>
      </c>
    </row>
    <row r="131" spans="2:17">
      <c r="B131" s="9"/>
      <c r="C131" s="9"/>
      <c r="D131" s="9"/>
      <c r="E131" s="9"/>
      <c r="F131" s="9"/>
      <c r="G131" s="9"/>
      <c r="H131" s="9"/>
      <c r="I131" s="9"/>
      <c r="J131" s="9"/>
      <c r="K131" s="9"/>
      <c r="L131" s="9"/>
      <c r="M131" s="9"/>
      <c r="N131" s="9"/>
      <c r="O131" s="9"/>
      <c r="P131" s="7" t="s">
        <v>672</v>
      </c>
    </row>
    <row r="132" spans="2:17">
      <c r="B132" s="149" t="s">
        <v>2</v>
      </c>
      <c r="C132" s="140" t="s">
        <v>53</v>
      </c>
      <c r="D132" s="141" t="s">
        <v>577</v>
      </c>
      <c r="E132" s="141" t="s">
        <v>578</v>
      </c>
      <c r="F132" s="141" t="s">
        <v>579</v>
      </c>
      <c r="G132" s="141" t="s">
        <v>580</v>
      </c>
      <c r="H132" s="141" t="s">
        <v>581</v>
      </c>
      <c r="I132" s="141" t="s">
        <v>582</v>
      </c>
      <c r="J132" s="141" t="s">
        <v>583</v>
      </c>
      <c r="K132" s="141" t="s">
        <v>584</v>
      </c>
      <c r="L132" s="141" t="s">
        <v>585</v>
      </c>
      <c r="M132" s="141" t="s">
        <v>586</v>
      </c>
      <c r="N132" s="141" t="s">
        <v>587</v>
      </c>
      <c r="O132" s="141" t="s">
        <v>588</v>
      </c>
      <c r="P132" s="263" t="s">
        <v>219</v>
      </c>
      <c r="Q132" s="263" t="s">
        <v>648</v>
      </c>
    </row>
    <row r="133" spans="2:17">
      <c r="B133" s="150">
        <v>1</v>
      </c>
      <c r="C133" s="151" t="s">
        <v>591</v>
      </c>
      <c r="D133" s="572">
        <f>AVERAGE(D109,D85)</f>
        <v>23828.224759142235</v>
      </c>
      <c r="E133" s="572">
        <f t="shared" ref="E133:I133" si="40">AVERAGE(E109,E85)</f>
        <v>23610.246707329679</v>
      </c>
      <c r="F133" s="572">
        <f t="shared" si="40"/>
        <v>23220.513977602655</v>
      </c>
      <c r="G133" s="572">
        <f t="shared" si="40"/>
        <v>20533.157620279359</v>
      </c>
      <c r="H133" s="572">
        <f t="shared" si="40"/>
        <v>20618.737662874872</v>
      </c>
      <c r="I133" s="572">
        <f t="shared" si="40"/>
        <v>20104.804599999999</v>
      </c>
      <c r="J133" s="572">
        <v>20904.417119999998</v>
      </c>
      <c r="K133" s="301"/>
      <c r="L133" s="301"/>
      <c r="M133" s="301"/>
      <c r="N133" s="301"/>
      <c r="O133" s="301"/>
      <c r="P133" s="298">
        <f>SUM(D133:O133)</f>
        <v>152820.1024472288</v>
      </c>
      <c r="Q133" s="557">
        <f>IFERROR(AVERAGE(D133:O133),0)</f>
        <v>21831.443206746972</v>
      </c>
    </row>
    <row r="134" spans="2:17">
      <c r="B134" s="150">
        <v>2</v>
      </c>
      <c r="C134" s="151" t="s">
        <v>593</v>
      </c>
      <c r="D134" s="298">
        <f t="shared" ref="D134:I134" si="41">AVERAGE(D110,D86)</f>
        <v>1016.7862426188749</v>
      </c>
      <c r="E134" s="298">
        <f t="shared" si="41"/>
        <v>999.46492298149485</v>
      </c>
      <c r="F134" s="298">
        <f t="shared" si="41"/>
        <v>1049.48417669017</v>
      </c>
      <c r="G134" s="298">
        <f t="shared" si="41"/>
        <v>931.70021727884114</v>
      </c>
      <c r="H134" s="298">
        <f t="shared" si="41"/>
        <v>912.85398138572907</v>
      </c>
      <c r="I134" s="298">
        <f t="shared" si="41"/>
        <v>926.31539999999995</v>
      </c>
      <c r="J134" s="298">
        <v>919.14524000000006</v>
      </c>
      <c r="K134" s="301"/>
      <c r="L134" s="301"/>
      <c r="M134" s="301"/>
      <c r="N134" s="301"/>
      <c r="O134" s="301"/>
      <c r="P134" s="298">
        <f t="shared" ref="P134:P151" si="42">SUM(D134:O134)</f>
        <v>6755.7501809551104</v>
      </c>
      <c r="Q134" s="557">
        <f t="shared" ref="Q134:Q151" si="43">IFERROR(AVERAGE(D134:O134),0)</f>
        <v>965.10716870787292</v>
      </c>
    </row>
    <row r="135" spans="2:17">
      <c r="B135" s="150">
        <v>3</v>
      </c>
      <c r="C135" s="151" t="s">
        <v>595</v>
      </c>
      <c r="D135" s="298">
        <f t="shared" ref="D135:I135" si="44">AVERAGE(D111,D87)</f>
        <v>1829.5554957008183</v>
      </c>
      <c r="E135" s="298">
        <f t="shared" si="44"/>
        <v>1895.5015403701022</v>
      </c>
      <c r="F135" s="298">
        <f t="shared" si="44"/>
        <v>2001.5419328079633</v>
      </c>
      <c r="G135" s="298">
        <f t="shared" si="44"/>
        <v>1649.4802690118986</v>
      </c>
      <c r="H135" s="298">
        <f t="shared" si="44"/>
        <v>1619.352037228542</v>
      </c>
      <c r="I135" s="298">
        <f t="shared" si="44"/>
        <v>1629.0871999999999</v>
      </c>
      <c r="J135" s="298">
        <v>1778.5705600000001</v>
      </c>
      <c r="K135" s="301"/>
      <c r="L135" s="301"/>
      <c r="M135" s="301"/>
      <c r="N135" s="301"/>
      <c r="O135" s="301"/>
      <c r="P135" s="298">
        <f t="shared" si="42"/>
        <v>12403.089035119325</v>
      </c>
      <c r="Q135" s="557">
        <f t="shared" si="43"/>
        <v>1771.8698621599035</v>
      </c>
    </row>
    <row r="136" spans="2:17">
      <c r="B136" s="150">
        <v>4</v>
      </c>
      <c r="C136" s="151" t="s">
        <v>597</v>
      </c>
      <c r="D136" s="298">
        <f t="shared" ref="D136:I136" si="45">AVERAGE(D112,D88)</f>
        <v>901.51925826168031</v>
      </c>
      <c r="E136" s="298">
        <f t="shared" si="45"/>
        <v>929.24375064612832</v>
      </c>
      <c r="F136" s="298">
        <f t="shared" si="45"/>
        <v>984.42492741600995</v>
      </c>
      <c r="G136" s="298">
        <f t="shared" si="45"/>
        <v>803.39019141231256</v>
      </c>
      <c r="H136" s="298">
        <f t="shared" si="45"/>
        <v>767.67154084798347</v>
      </c>
      <c r="I136" s="298">
        <f t="shared" si="45"/>
        <v>801.06071999999995</v>
      </c>
      <c r="J136" s="298">
        <v>837.77649999999994</v>
      </c>
      <c r="K136" s="301"/>
      <c r="L136" s="301"/>
      <c r="M136" s="301"/>
      <c r="N136" s="301"/>
      <c r="O136" s="301"/>
      <c r="P136" s="298">
        <f t="shared" si="42"/>
        <v>6025.0868885841137</v>
      </c>
      <c r="Q136" s="557">
        <f t="shared" si="43"/>
        <v>860.72669836915907</v>
      </c>
    </row>
    <row r="137" spans="2:17">
      <c r="B137" s="150">
        <v>5</v>
      </c>
      <c r="C137" s="151" t="s">
        <v>599</v>
      </c>
      <c r="D137" s="298">
        <f t="shared" ref="D137:I137" si="46">AVERAGE(D113,D89)</f>
        <v>515.81013156531651</v>
      </c>
      <c r="E137" s="298">
        <f t="shared" si="46"/>
        <v>521.44176573968775</v>
      </c>
      <c r="F137" s="298">
        <f t="shared" si="46"/>
        <v>527.76020323517207</v>
      </c>
      <c r="G137" s="298">
        <f t="shared" si="46"/>
        <v>512.43954474909469</v>
      </c>
      <c r="H137" s="298">
        <f t="shared" si="46"/>
        <v>521.49764219234748</v>
      </c>
      <c r="I137" s="298">
        <f t="shared" si="46"/>
        <v>505.14261999999997</v>
      </c>
      <c r="J137" s="298">
        <v>524.41192000000001</v>
      </c>
      <c r="K137" s="301"/>
      <c r="L137" s="301"/>
      <c r="M137" s="301"/>
      <c r="N137" s="301"/>
      <c r="O137" s="301"/>
      <c r="P137" s="298">
        <f t="shared" si="42"/>
        <v>3628.5038274816184</v>
      </c>
      <c r="Q137" s="557">
        <f t="shared" si="43"/>
        <v>518.35768964023123</v>
      </c>
    </row>
    <row r="138" spans="2:17">
      <c r="B138" s="150">
        <v>6</v>
      </c>
      <c r="C138" s="151" t="s">
        <v>601</v>
      </c>
      <c r="D138" s="298">
        <f t="shared" ref="D138:I138" si="47">AVERAGE(D114,D90)</f>
        <v>11.342670672329845</v>
      </c>
      <c r="E138" s="298">
        <f t="shared" si="47"/>
        <v>11.113284399875942</v>
      </c>
      <c r="F138" s="298">
        <f t="shared" si="47"/>
        <v>10.918311903774367</v>
      </c>
      <c r="G138" s="298">
        <f t="shared" si="47"/>
        <v>9.247470253491981</v>
      </c>
      <c r="H138" s="298">
        <f t="shared" si="47"/>
        <v>8.9650465356773523</v>
      </c>
      <c r="I138" s="298">
        <f t="shared" si="47"/>
        <v>8.6784599999999994</v>
      </c>
      <c r="J138" s="298">
        <v>9.1846600000000009</v>
      </c>
      <c r="K138" s="301"/>
      <c r="L138" s="301"/>
      <c r="M138" s="301"/>
      <c r="N138" s="301"/>
      <c r="O138" s="301"/>
      <c r="P138" s="298">
        <f t="shared" si="42"/>
        <v>69.449903765149486</v>
      </c>
      <c r="Q138" s="557">
        <f t="shared" si="43"/>
        <v>9.9214148235927837</v>
      </c>
    </row>
    <row r="139" spans="2:17">
      <c r="B139" s="150">
        <v>7</v>
      </c>
      <c r="C139" s="151" t="s">
        <v>603</v>
      </c>
      <c r="D139" s="298">
        <f t="shared" ref="D139:I139" si="48">AVERAGE(D115,D91)</f>
        <v>5.1511447218481301</v>
      </c>
      <c r="E139" s="298">
        <f t="shared" si="48"/>
        <v>5.3723353664840268</v>
      </c>
      <c r="F139" s="298">
        <f t="shared" si="48"/>
        <v>5.4382413936126088</v>
      </c>
      <c r="G139" s="298">
        <f t="shared" si="48"/>
        <v>4.6104293843766166</v>
      </c>
      <c r="H139" s="298">
        <f t="shared" si="48"/>
        <v>4.6387383660806618</v>
      </c>
      <c r="I139" s="298">
        <f t="shared" si="48"/>
        <v>4.8883599999999996</v>
      </c>
      <c r="J139" s="298">
        <v>4.9005000000000001</v>
      </c>
      <c r="K139" s="301"/>
      <c r="L139" s="301"/>
      <c r="M139" s="301"/>
      <c r="N139" s="301"/>
      <c r="O139" s="301"/>
      <c r="P139" s="298">
        <f t="shared" si="42"/>
        <v>34.999749232402046</v>
      </c>
      <c r="Q139" s="557">
        <f t="shared" si="43"/>
        <v>4.9999641760574347</v>
      </c>
    </row>
    <row r="140" spans="2:17">
      <c r="B140" s="150">
        <v>8</v>
      </c>
      <c r="C140" s="151" t="s">
        <v>605</v>
      </c>
      <c r="D140" s="298">
        <f t="shared" ref="D140:I140" si="49">AVERAGE(D116,D92)</f>
        <v>5.5478504091992118</v>
      </c>
      <c r="E140" s="298">
        <f t="shared" si="49"/>
        <v>5.6079189496536745</v>
      </c>
      <c r="F140" s="298">
        <f t="shared" si="49"/>
        <v>5.5273952716715051</v>
      </c>
      <c r="G140" s="298">
        <f t="shared" si="49"/>
        <v>4.6669632695292291</v>
      </c>
      <c r="H140" s="298">
        <f t="shared" si="49"/>
        <v>5.2978076525336091</v>
      </c>
      <c r="I140" s="298">
        <f t="shared" si="49"/>
        <v>8.0706799999999994</v>
      </c>
      <c r="J140" s="298">
        <v>6.4957599999999998</v>
      </c>
      <c r="K140" s="301"/>
      <c r="L140" s="301"/>
      <c r="M140" s="301"/>
      <c r="N140" s="301"/>
      <c r="O140" s="301"/>
      <c r="P140" s="298">
        <f t="shared" si="42"/>
        <v>41.214375552587228</v>
      </c>
      <c r="Q140" s="557">
        <f t="shared" si="43"/>
        <v>5.8877679360838897</v>
      </c>
    </row>
    <row r="141" spans="2:17">
      <c r="B141" s="150">
        <v>9</v>
      </c>
      <c r="C141" s="151" t="s">
        <v>607</v>
      </c>
      <c r="D141" s="298">
        <f t="shared" ref="D141:I141" si="50">AVERAGE(D117,D93)</f>
        <v>6.6255464622397184</v>
      </c>
      <c r="E141" s="298">
        <f t="shared" si="50"/>
        <v>7.5745477101209548</v>
      </c>
      <c r="F141" s="298">
        <f t="shared" si="50"/>
        <v>10.287183741186229</v>
      </c>
      <c r="G141" s="298">
        <f t="shared" si="50"/>
        <v>11.663404035178479</v>
      </c>
      <c r="H141" s="298">
        <f t="shared" si="50"/>
        <v>10.603123061013445</v>
      </c>
      <c r="I141" s="298">
        <f t="shared" si="50"/>
        <v>8.00718</v>
      </c>
      <c r="J141" s="298">
        <v>10.591619999999999</v>
      </c>
      <c r="K141" s="301"/>
      <c r="L141" s="301"/>
      <c r="M141" s="301"/>
      <c r="N141" s="301"/>
      <c r="O141" s="301"/>
      <c r="P141" s="298">
        <f t="shared" si="42"/>
        <v>65.352605009738824</v>
      </c>
      <c r="Q141" s="557">
        <f t="shared" si="43"/>
        <v>9.3360864299626893</v>
      </c>
    </row>
    <row r="142" spans="2:17">
      <c r="B142" s="150">
        <v>10</v>
      </c>
      <c r="C142" s="151" t="s">
        <v>609</v>
      </c>
      <c r="D142" s="298">
        <f t="shared" ref="D142:I142" si="51">AVERAGE(D118,D94)</f>
        <v>15.460064228737179</v>
      </c>
      <c r="E142" s="298">
        <f t="shared" si="51"/>
        <v>16.48009924532203</v>
      </c>
      <c r="F142" s="298">
        <f t="shared" si="51"/>
        <v>17.532559104106177</v>
      </c>
      <c r="G142" s="298">
        <f t="shared" si="51"/>
        <v>14.263010863942061</v>
      </c>
      <c r="H142" s="298">
        <f t="shared" si="51"/>
        <v>13.696794208893484</v>
      </c>
      <c r="I142" s="298">
        <f t="shared" si="51"/>
        <v>11.40976</v>
      </c>
      <c r="J142" s="298">
        <v>13.4664</v>
      </c>
      <c r="K142" s="301"/>
      <c r="L142" s="301"/>
      <c r="M142" s="301"/>
      <c r="N142" s="301"/>
      <c r="O142" s="301"/>
      <c r="P142" s="298">
        <f t="shared" si="42"/>
        <v>102.30868765100092</v>
      </c>
      <c r="Q142" s="557">
        <f t="shared" si="43"/>
        <v>14.615526807285846</v>
      </c>
    </row>
    <row r="143" spans="2:17">
      <c r="B143" s="150">
        <v>11</v>
      </c>
      <c r="C143" s="151" t="s">
        <v>611</v>
      </c>
      <c r="D143" s="298">
        <f t="shared" ref="D143:I143" si="52">AVERAGE(D119,D95)</f>
        <v>11.055153838185021</v>
      </c>
      <c r="E143" s="298">
        <f t="shared" si="52"/>
        <v>11.020862193735137</v>
      </c>
      <c r="F143" s="298">
        <f t="shared" si="52"/>
        <v>10.145790128577353</v>
      </c>
      <c r="G143" s="298">
        <f t="shared" si="52"/>
        <v>7.4707915157785827</v>
      </c>
      <c r="H143" s="298">
        <f t="shared" si="52"/>
        <v>7.5459358841778688</v>
      </c>
      <c r="I143" s="298">
        <f t="shared" si="52"/>
        <v>4.4095199999999997</v>
      </c>
      <c r="J143" s="298">
        <v>7.8853600000000004</v>
      </c>
      <c r="K143" s="301"/>
      <c r="L143" s="301"/>
      <c r="M143" s="301"/>
      <c r="N143" s="301"/>
      <c r="O143" s="301"/>
      <c r="P143" s="298">
        <f t="shared" si="42"/>
        <v>59.533413560453958</v>
      </c>
      <c r="Q143" s="557">
        <f t="shared" si="43"/>
        <v>8.5047733657791369</v>
      </c>
    </row>
    <row r="144" spans="2:17">
      <c r="B144" s="150">
        <v>12</v>
      </c>
      <c r="C144" s="151" t="s">
        <v>613</v>
      </c>
      <c r="D144" s="298">
        <f t="shared" ref="D144:I144" si="53">AVERAGE(D120,D96)</f>
        <v>6.7290997617321038</v>
      </c>
      <c r="E144" s="298">
        <f t="shared" si="53"/>
        <v>6.7864364726558453</v>
      </c>
      <c r="F144" s="298">
        <f t="shared" si="53"/>
        <v>6.1101617586063872</v>
      </c>
      <c r="G144" s="298">
        <f t="shared" si="53"/>
        <v>5.0290946714950859</v>
      </c>
      <c r="H144" s="298">
        <f t="shared" si="53"/>
        <v>5.1818407445708381</v>
      </c>
      <c r="I144" s="298">
        <f t="shared" si="53"/>
        <v>5.2725200000000001</v>
      </c>
      <c r="J144" s="298">
        <v>5.4996600000000004</v>
      </c>
      <c r="K144" s="301"/>
      <c r="L144" s="301"/>
      <c r="M144" s="301"/>
      <c r="N144" s="301"/>
      <c r="O144" s="301"/>
      <c r="P144" s="298">
        <f t="shared" si="42"/>
        <v>40.608813409060254</v>
      </c>
      <c r="Q144" s="557">
        <f t="shared" si="43"/>
        <v>5.8012590584371795</v>
      </c>
    </row>
    <row r="145" spans="2:17">
      <c r="B145" s="150">
        <v>13</v>
      </c>
      <c r="C145" s="151" t="s">
        <v>615</v>
      </c>
      <c r="D145" s="298">
        <f t="shared" ref="D145:I145" si="54">AVERAGE(D121,D97)</f>
        <v>1.1105355847922924</v>
      </c>
      <c r="E145" s="298">
        <f t="shared" si="54"/>
        <v>0.91595161790551016</v>
      </c>
      <c r="F145" s="298">
        <f t="shared" si="54"/>
        <v>1.0929075072583991</v>
      </c>
      <c r="G145" s="298">
        <f t="shared" si="54"/>
        <v>1.0346611484738748</v>
      </c>
      <c r="H145" s="298">
        <f t="shared" si="54"/>
        <v>1.1106514994829368</v>
      </c>
      <c r="I145" s="298">
        <f t="shared" si="54"/>
        <v>7.0656000000000008</v>
      </c>
      <c r="J145" s="298">
        <v>1.37</v>
      </c>
      <c r="K145" s="301"/>
      <c r="L145" s="301"/>
      <c r="M145" s="301"/>
      <c r="N145" s="301"/>
      <c r="O145" s="301"/>
      <c r="P145" s="298">
        <f t="shared" si="42"/>
        <v>13.700307357913015</v>
      </c>
      <c r="Q145" s="557">
        <f t="shared" si="43"/>
        <v>1.957186765416145</v>
      </c>
    </row>
    <row r="146" spans="2:17">
      <c r="B146" s="150">
        <v>14</v>
      </c>
      <c r="C146" s="151" t="s">
        <v>617</v>
      </c>
      <c r="D146" s="298">
        <f t="shared" ref="D146:I146" si="55">AVERAGE(D122,D98)</f>
        <v>0.70100486895265712</v>
      </c>
      <c r="E146" s="298">
        <f t="shared" si="55"/>
        <v>0.69211206450945939</v>
      </c>
      <c r="F146" s="298">
        <f t="shared" si="55"/>
        <v>0.67523849025300708</v>
      </c>
      <c r="G146" s="298">
        <f t="shared" si="55"/>
        <v>0.55559234350750131</v>
      </c>
      <c r="H146" s="298">
        <f t="shared" si="55"/>
        <v>0.56194415718717683</v>
      </c>
      <c r="I146" s="298">
        <f t="shared" si="55"/>
        <v>0.69690000000000007</v>
      </c>
      <c r="J146" s="298">
        <v>0.57504</v>
      </c>
      <c r="K146" s="301"/>
      <c r="L146" s="301"/>
      <c r="M146" s="301"/>
      <c r="N146" s="301"/>
      <c r="O146" s="301"/>
      <c r="P146" s="298">
        <f t="shared" si="42"/>
        <v>4.4578319244098026</v>
      </c>
      <c r="Q146" s="557">
        <f t="shared" si="43"/>
        <v>0.63683313205854319</v>
      </c>
    </row>
    <row r="147" spans="2:17">
      <c r="B147" s="150">
        <v>15</v>
      </c>
      <c r="C147" s="151" t="s">
        <v>619</v>
      </c>
      <c r="D147" s="572">
        <f t="shared" ref="D147:I147" si="56">AVERAGE(D123,D99)</f>
        <v>28.527048585931837</v>
      </c>
      <c r="E147" s="572">
        <f t="shared" si="56"/>
        <v>31.857458906233845</v>
      </c>
      <c r="F147" s="572">
        <f t="shared" si="56"/>
        <v>32.383616756532561</v>
      </c>
      <c r="G147" s="572">
        <f t="shared" si="56"/>
        <v>23.127263321262287</v>
      </c>
      <c r="H147" s="572">
        <f t="shared" si="56"/>
        <v>25.001820062047571</v>
      </c>
      <c r="I147" s="572">
        <f t="shared" si="56"/>
        <v>31.282920000000001</v>
      </c>
      <c r="J147" s="572">
        <v>26.906660000000002</v>
      </c>
      <c r="K147" s="301"/>
      <c r="L147" s="301"/>
      <c r="M147" s="301"/>
      <c r="N147" s="301"/>
      <c r="O147" s="301"/>
      <c r="P147" s="298">
        <f t="shared" si="42"/>
        <v>199.08678763200811</v>
      </c>
      <c r="Q147" s="557">
        <f t="shared" si="43"/>
        <v>28.440969661715446</v>
      </c>
    </row>
    <row r="148" spans="2:17">
      <c r="B148" s="150">
        <v>16</v>
      </c>
      <c r="C148" s="151" t="s">
        <v>620</v>
      </c>
      <c r="D148" s="298">
        <f t="shared" ref="D148:I148" si="57">AVERAGE(D124,D100)</f>
        <v>0</v>
      </c>
      <c r="E148" s="298">
        <f t="shared" si="57"/>
        <v>0</v>
      </c>
      <c r="F148" s="298">
        <f t="shared" si="57"/>
        <v>0</v>
      </c>
      <c r="G148" s="572">
        <f t="shared" si="57"/>
        <v>15.053243662700464</v>
      </c>
      <c r="H148" s="572">
        <f t="shared" si="57"/>
        <v>15.13960703205791</v>
      </c>
      <c r="I148" s="572">
        <f t="shared" si="57"/>
        <v>15.56</v>
      </c>
      <c r="J148" s="572">
        <v>14.919999999999998</v>
      </c>
      <c r="K148" s="301"/>
      <c r="L148" s="301"/>
      <c r="M148" s="301"/>
      <c r="N148" s="301"/>
      <c r="O148" s="301"/>
      <c r="P148" s="298">
        <f t="shared" si="42"/>
        <v>60.672850694758367</v>
      </c>
      <c r="Q148" s="557">
        <f t="shared" si="43"/>
        <v>8.667550099251196</v>
      </c>
    </row>
    <row r="149" spans="2:17">
      <c r="B149" s="150">
        <v>17</v>
      </c>
      <c r="C149" s="151" t="s">
        <v>621</v>
      </c>
      <c r="D149" s="298">
        <f t="shared" ref="D149:I149" si="58">AVERAGE(D125,D101)</f>
        <v>0</v>
      </c>
      <c r="E149" s="298">
        <f t="shared" si="58"/>
        <v>0</v>
      </c>
      <c r="F149" s="298">
        <f t="shared" si="58"/>
        <v>0</v>
      </c>
      <c r="G149" s="572">
        <f t="shared" si="58"/>
        <v>10.677703052250388</v>
      </c>
      <c r="H149" s="572">
        <f t="shared" si="58"/>
        <v>10.568769389865563</v>
      </c>
      <c r="I149" s="572">
        <f t="shared" si="58"/>
        <v>10.68</v>
      </c>
      <c r="J149" s="572">
        <v>10.56</v>
      </c>
      <c r="K149" s="301"/>
      <c r="L149" s="301"/>
      <c r="M149" s="301"/>
      <c r="N149" s="301"/>
      <c r="O149" s="301"/>
      <c r="P149" s="298">
        <f t="shared" si="42"/>
        <v>42.486472442115954</v>
      </c>
      <c r="Q149" s="557">
        <f t="shared" si="43"/>
        <v>6.0694960631594217</v>
      </c>
    </row>
    <row r="150" spans="2:17">
      <c r="B150" s="150">
        <v>18</v>
      </c>
      <c r="C150" s="151" t="s">
        <v>678</v>
      </c>
      <c r="D150" s="298">
        <v>0</v>
      </c>
      <c r="E150" s="298">
        <v>0</v>
      </c>
      <c r="F150" s="298">
        <v>0</v>
      </c>
      <c r="G150" s="298">
        <v>0</v>
      </c>
      <c r="H150" s="298">
        <v>0</v>
      </c>
      <c r="I150" s="298">
        <v>0</v>
      </c>
      <c r="J150" s="572">
        <v>0</v>
      </c>
      <c r="K150" s="301"/>
      <c r="L150" s="301"/>
      <c r="M150" s="301"/>
      <c r="N150" s="301"/>
      <c r="O150" s="301"/>
      <c r="P150" s="298">
        <f t="shared" si="42"/>
        <v>0</v>
      </c>
      <c r="Q150" s="557">
        <f t="shared" si="43"/>
        <v>0</v>
      </c>
    </row>
    <row r="151" spans="2:17">
      <c r="B151" s="150">
        <v>19</v>
      </c>
      <c r="C151" s="151" t="s">
        <v>679</v>
      </c>
      <c r="D151" s="298">
        <v>0</v>
      </c>
      <c r="E151" s="298">
        <v>0</v>
      </c>
      <c r="F151" s="298">
        <v>0</v>
      </c>
      <c r="G151" s="298">
        <v>0</v>
      </c>
      <c r="H151" s="298">
        <v>0</v>
      </c>
      <c r="I151" s="298">
        <v>0</v>
      </c>
      <c r="J151" s="572">
        <v>0</v>
      </c>
      <c r="K151" s="301"/>
      <c r="L151" s="301"/>
      <c r="M151" s="301"/>
      <c r="N151" s="301"/>
      <c r="O151" s="301"/>
      <c r="P151" s="298">
        <f t="shared" si="42"/>
        <v>0</v>
      </c>
      <c r="Q151" s="557">
        <f t="shared" si="43"/>
        <v>0</v>
      </c>
    </row>
    <row r="152" spans="2:17">
      <c r="B152" s="150"/>
      <c r="C152" s="299" t="s">
        <v>219</v>
      </c>
      <c r="D152" s="300">
        <f>SUM(D133:D151)</f>
        <v>28184.146006422867</v>
      </c>
      <c r="E152" s="300">
        <f t="shared" ref="E152:J152" si="59">SUM(E133:E151)</f>
        <v>28053.319693993588</v>
      </c>
      <c r="F152" s="300">
        <f t="shared" si="59"/>
        <v>27883.836623807547</v>
      </c>
      <c r="G152" s="300">
        <f t="shared" si="59"/>
        <v>24537.567470253493</v>
      </c>
      <c r="H152" s="300">
        <f t="shared" si="59"/>
        <v>24548.42494312306</v>
      </c>
      <c r="I152" s="300">
        <f t="shared" si="59"/>
        <v>24082.43244</v>
      </c>
      <c r="J152" s="300">
        <f t="shared" si="59"/>
        <v>25076.677</v>
      </c>
      <c r="K152" s="301"/>
      <c r="L152" s="301"/>
      <c r="M152" s="301"/>
      <c r="N152" s="301"/>
      <c r="O152" s="301"/>
      <c r="P152" s="298">
        <f>SUM(P133:P151)</f>
        <v>182366.40417760052</v>
      </c>
      <c r="Q152" s="541">
        <f>SUM(Q133:Q151)</f>
        <v>26052.343453942933</v>
      </c>
    </row>
    <row r="155" spans="2:17">
      <c r="B155" s="8" t="s">
        <v>680</v>
      </c>
      <c r="D155" s="1" t="s">
        <v>681</v>
      </c>
    </row>
    <row r="156" spans="2:17">
      <c r="B156" s="8" t="s">
        <v>100</v>
      </c>
    </row>
    <row r="157" spans="2:17">
      <c r="B157" s="140" t="s">
        <v>2</v>
      </c>
      <c r="C157" s="140" t="s">
        <v>53</v>
      </c>
      <c r="D157" s="141" t="s">
        <v>577</v>
      </c>
      <c r="E157" s="141" t="s">
        <v>578</v>
      </c>
      <c r="F157" s="141" t="s">
        <v>579</v>
      </c>
      <c r="G157" s="141" t="s">
        <v>580</v>
      </c>
      <c r="H157" s="141" t="s">
        <v>581</v>
      </c>
      <c r="I157" s="141" t="s">
        <v>582</v>
      </c>
      <c r="J157" s="141" t="s">
        <v>583</v>
      </c>
      <c r="K157" s="141" t="s">
        <v>584</v>
      </c>
      <c r="L157" s="141" t="s">
        <v>585</v>
      </c>
      <c r="M157" s="141" t="s">
        <v>586</v>
      </c>
      <c r="N157" s="141" t="s">
        <v>587</v>
      </c>
      <c r="O157" s="141" t="s">
        <v>588</v>
      </c>
      <c r="P157" s="141" t="s">
        <v>219</v>
      </c>
    </row>
    <row r="158" spans="2:17">
      <c r="B158" s="145">
        <v>1</v>
      </c>
      <c r="C158" s="314" t="s">
        <v>682</v>
      </c>
      <c r="D158" s="388">
        <f>'POA Data'!F10</f>
        <v>852.77219024398914</v>
      </c>
      <c r="E158" s="388">
        <f>'POA Data'!G10</f>
        <v>913.66165022865368</v>
      </c>
      <c r="F158" s="388">
        <f>'POA Data'!H10</f>
        <v>1010.7232457143861</v>
      </c>
      <c r="G158" s="388">
        <f>'POA Data'!I10</f>
        <v>973.4609501602331</v>
      </c>
      <c r="H158" s="388">
        <f>'POA Data'!J10</f>
        <v>1005.586860574091</v>
      </c>
      <c r="I158" s="388">
        <f>'POA Data'!K10</f>
        <v>971.10660178566036</v>
      </c>
      <c r="J158" s="388">
        <f>'POA Data'!L10</f>
        <v>919.7522870465948</v>
      </c>
      <c r="K158" s="388">
        <f>'POA Data'!M10</f>
        <v>856.15109793393628</v>
      </c>
      <c r="L158" s="388">
        <f>'POA Data'!N10</f>
        <v>880.22631340019177</v>
      </c>
      <c r="M158" s="388">
        <f>'POA Data'!O10</f>
        <v>921.60190415168915</v>
      </c>
      <c r="N158" s="388">
        <f>'POA Data'!P10</f>
        <v>988.19382374359498</v>
      </c>
      <c r="O158" s="388">
        <f>'POA Data'!Q10</f>
        <v>1027.0079715613244</v>
      </c>
      <c r="P158" s="315">
        <f>AVERAGE(D158:O158)</f>
        <v>943.3537413786953</v>
      </c>
    </row>
    <row r="159" spans="2:17">
      <c r="B159" s="145">
        <v>2</v>
      </c>
      <c r="C159" s="146" t="s">
        <v>683</v>
      </c>
      <c r="D159" s="711" t="s">
        <v>65</v>
      </c>
      <c r="E159" s="711" t="s">
        <v>65</v>
      </c>
      <c r="F159" s="711" t="s">
        <v>65</v>
      </c>
      <c r="G159" s="711" t="s">
        <v>65</v>
      </c>
      <c r="H159" s="711" t="s">
        <v>65</v>
      </c>
      <c r="I159" s="711" t="s">
        <v>65</v>
      </c>
      <c r="J159" s="711" t="s">
        <v>65</v>
      </c>
      <c r="K159" s="711"/>
      <c r="L159" s="711" t="s">
        <v>65</v>
      </c>
      <c r="M159" s="144" t="s">
        <v>65</v>
      </c>
      <c r="N159" s="144" t="s">
        <v>65</v>
      </c>
      <c r="O159" s="144" t="s">
        <v>65</v>
      </c>
      <c r="P159" s="144"/>
    </row>
    <row r="160" spans="2:17">
      <c r="B160" s="150">
        <v>3</v>
      </c>
      <c r="C160" s="151" t="s">
        <v>595</v>
      </c>
      <c r="D160" s="144" t="s">
        <v>65</v>
      </c>
      <c r="E160" s="144" t="s">
        <v>65</v>
      </c>
      <c r="F160" s="144" t="s">
        <v>65</v>
      </c>
      <c r="G160" s="144" t="s">
        <v>65</v>
      </c>
      <c r="H160" s="144" t="s">
        <v>65</v>
      </c>
      <c r="I160" s="144" t="s">
        <v>65</v>
      </c>
      <c r="J160" s="144" t="s">
        <v>65</v>
      </c>
      <c r="K160" s="144" t="s">
        <v>65</v>
      </c>
      <c r="L160" s="144" t="s">
        <v>65</v>
      </c>
      <c r="M160" s="144" t="s">
        <v>65</v>
      </c>
      <c r="N160" s="144" t="s">
        <v>65</v>
      </c>
      <c r="O160" s="144" t="s">
        <v>65</v>
      </c>
      <c r="P160" s="144"/>
    </row>
    <row r="161" spans="2:16">
      <c r="B161" s="150">
        <v>4</v>
      </c>
      <c r="C161" s="151" t="s">
        <v>629</v>
      </c>
      <c r="D161" s="144"/>
      <c r="E161" s="144"/>
      <c r="F161" s="144"/>
      <c r="G161" s="144"/>
      <c r="H161" s="144"/>
      <c r="I161" s="144"/>
      <c r="J161" s="144"/>
      <c r="K161" s="144"/>
      <c r="L161" s="144"/>
      <c r="M161" s="144"/>
      <c r="N161" s="144"/>
      <c r="O161" s="144"/>
      <c r="P161" s="144"/>
    </row>
    <row r="162" spans="2:16">
      <c r="B162" s="712" t="s">
        <v>684</v>
      </c>
      <c r="D162" s="268"/>
      <c r="E162" s="268"/>
      <c r="F162" s="268"/>
      <c r="G162" s="268"/>
      <c r="H162" s="268"/>
      <c r="I162" s="268"/>
      <c r="J162" s="268"/>
      <c r="K162" s="268"/>
      <c r="L162" s="268"/>
      <c r="M162" s="268"/>
      <c r="N162" s="268"/>
      <c r="O162" s="268"/>
      <c r="P162" s="268"/>
    </row>
    <row r="163" spans="2:16">
      <c r="B163" s="267"/>
      <c r="D163" s="268"/>
      <c r="E163" s="268"/>
      <c r="F163" s="268"/>
      <c r="G163" s="268"/>
      <c r="H163" s="268"/>
      <c r="I163" s="268"/>
      <c r="J163" s="268"/>
      <c r="K163" s="268"/>
      <c r="L163" s="268"/>
      <c r="M163" s="268"/>
      <c r="N163" s="268"/>
      <c r="O163" s="268"/>
      <c r="P163" s="268"/>
    </row>
    <row r="165" spans="2:16">
      <c r="B165" s="8" t="s">
        <v>685</v>
      </c>
    </row>
    <row r="166" spans="2:16">
      <c r="B166" s="153" t="s">
        <v>2</v>
      </c>
      <c r="C166" s="153" t="s">
        <v>53</v>
      </c>
      <c r="D166" s="154" t="s">
        <v>56</v>
      </c>
      <c r="E166" s="153" t="s">
        <v>57</v>
      </c>
      <c r="F166" s="153" t="s">
        <v>58</v>
      </c>
      <c r="G166" s="153" t="s">
        <v>59</v>
      </c>
      <c r="H166" s="153" t="s">
        <v>60</v>
      </c>
    </row>
    <row r="167" spans="2:16">
      <c r="B167" s="145">
        <v>1</v>
      </c>
      <c r="C167" s="146" t="s">
        <v>591</v>
      </c>
      <c r="D167" s="482">
        <f>'POA Data'!V5</f>
        <v>993.29956305843291</v>
      </c>
      <c r="E167" s="482">
        <f>'POA Data'!W5</f>
        <v>1203.6999278238677</v>
      </c>
      <c r="F167" s="482">
        <f>'POA Data'!X5</f>
        <v>1458.6672239963023</v>
      </c>
      <c r="G167" s="482">
        <f>'POA Data'!Y5</f>
        <v>1767.6416033418732</v>
      </c>
      <c r="H167" s="482">
        <f>'POA Data'!Z5</f>
        <v>2142.0628272600088</v>
      </c>
      <c r="I167" s="481" t="s">
        <v>686</v>
      </c>
    </row>
    <row r="168" spans="2:16">
      <c r="B168" s="145">
        <v>2</v>
      </c>
      <c r="C168" s="146" t="s">
        <v>683</v>
      </c>
      <c r="D168" s="711" t="s">
        <v>65</v>
      </c>
      <c r="E168" s="711" t="s">
        <v>65</v>
      </c>
      <c r="F168" s="711" t="s">
        <v>65</v>
      </c>
      <c r="G168" s="711" t="s">
        <v>65</v>
      </c>
      <c r="H168" s="711" t="s">
        <v>65</v>
      </c>
    </row>
    <row r="169" spans="2:16">
      <c r="B169" s="150">
        <v>3</v>
      </c>
      <c r="C169" s="151" t="s">
        <v>595</v>
      </c>
      <c r="D169" s="144" t="s">
        <v>65</v>
      </c>
      <c r="E169" s="144" t="s">
        <v>65</v>
      </c>
      <c r="F169" s="144" t="s">
        <v>65</v>
      </c>
      <c r="G169" s="144" t="s">
        <v>65</v>
      </c>
      <c r="H169" s="144" t="s">
        <v>65</v>
      </c>
    </row>
    <row r="170" spans="2:16">
      <c r="B170" s="150">
        <v>4</v>
      </c>
      <c r="C170" s="151" t="s">
        <v>629</v>
      </c>
      <c r="D170" s="11"/>
      <c r="E170" s="11"/>
      <c r="F170" s="11"/>
      <c r="G170" s="11"/>
      <c r="H170" s="11"/>
    </row>
    <row r="171" spans="2:16">
      <c r="B171" s="269" t="s">
        <v>687</v>
      </c>
    </row>
    <row r="172" spans="2:16">
      <c r="B172" s="1" t="s">
        <v>688</v>
      </c>
    </row>
  </sheetData>
  <pageMargins left="0.64" right="0.23622047244094491" top="0.98425196850393704" bottom="0.98425196850393704" header="0.23622047244094491" footer="0.23622047244094491"/>
  <pageSetup paperSize="9" scale="19" orientation="landscape" r:id="rId1"/>
  <headerFooter alignWithMargins="0">
    <oddHeader>&amp;F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AK73"/>
  <sheetViews>
    <sheetView showGridLines="0" view="pageBreakPreview" topLeftCell="A8" zoomScale="53" zoomScaleNormal="75" workbookViewId="0">
      <selection activeCell="D11" sqref="D11:M30"/>
    </sheetView>
  </sheetViews>
  <sheetFormatPr defaultColWidth="9.140625" defaultRowHeight="13.9"/>
  <cols>
    <col min="1" max="1" width="4.140625" style="363" customWidth="1"/>
    <col min="2" max="2" width="9.42578125" style="583" customWidth="1"/>
    <col min="3" max="3" width="57.42578125" style="573" customWidth="1"/>
    <col min="4" max="4" width="14.7109375" style="363" customWidth="1"/>
    <col min="5" max="9" width="19.42578125" style="363" customWidth="1"/>
    <col min="10" max="13" width="15.85546875" style="363" customWidth="1"/>
    <col min="14" max="14" width="14.85546875" style="363" customWidth="1"/>
    <col min="15" max="15" width="21" style="363" customWidth="1"/>
    <col min="16" max="16" width="10.28515625" style="363" bestFit="1" customWidth="1"/>
    <col min="17" max="17" width="9.28515625" style="363" bestFit="1" customWidth="1"/>
    <col min="18" max="18" width="22.7109375" style="363" bestFit="1" customWidth="1"/>
    <col min="19" max="19" width="9.28515625" style="363" bestFit="1" customWidth="1"/>
    <col min="20" max="20" width="10.28515625" style="363" bestFit="1" customWidth="1"/>
    <col min="21" max="24" width="13.7109375" style="363" bestFit="1" customWidth="1"/>
    <col min="25" max="25" width="13.42578125" style="363" bestFit="1" customWidth="1"/>
    <col min="26" max="16384" width="9.140625" style="363"/>
  </cols>
  <sheetData>
    <row r="1" spans="2:19">
      <c r="B1" s="581"/>
    </row>
    <row r="2" spans="2:19">
      <c r="B2" s="582"/>
      <c r="D2" s="574"/>
      <c r="E2" s="509" t="s">
        <v>0</v>
      </c>
      <c r="F2" s="509"/>
      <c r="G2" s="574"/>
      <c r="H2" s="574"/>
      <c r="I2" s="726" t="s">
        <v>689</v>
      </c>
    </row>
    <row r="3" spans="2:19">
      <c r="B3" s="582"/>
      <c r="D3" s="574"/>
      <c r="E3" s="511" t="s">
        <v>1</v>
      </c>
      <c r="F3" s="511"/>
      <c r="G3" s="574"/>
      <c r="H3" s="574"/>
    </row>
    <row r="4" spans="2:19">
      <c r="D4" s="574"/>
      <c r="E4" s="552" t="s">
        <v>690</v>
      </c>
      <c r="F4" s="552"/>
      <c r="G4" s="574"/>
      <c r="H4" s="574"/>
    </row>
    <row r="5" spans="2:19">
      <c r="D5" s="574"/>
      <c r="E5" s="552"/>
      <c r="F5" s="552"/>
      <c r="G5" s="574"/>
      <c r="H5" s="574"/>
    </row>
    <row r="6" spans="2:19">
      <c r="B6" s="584" t="s">
        <v>691</v>
      </c>
      <c r="D6" s="574"/>
      <c r="E6" s="552"/>
      <c r="F6" s="552"/>
      <c r="G6" s="574"/>
      <c r="H6" s="574"/>
    </row>
    <row r="7" spans="2:19">
      <c r="D7" s="574"/>
      <c r="E7" s="552"/>
      <c r="F7" s="552"/>
      <c r="G7" s="574"/>
      <c r="H7" s="574"/>
    </row>
    <row r="8" spans="2:19">
      <c r="B8" s="861" t="s">
        <v>2</v>
      </c>
      <c r="C8" s="850" t="s">
        <v>53</v>
      </c>
      <c r="D8" s="849" t="s">
        <v>54</v>
      </c>
      <c r="E8" s="849"/>
      <c r="F8" s="849"/>
      <c r="G8" s="849"/>
      <c r="H8" s="849"/>
      <c r="I8" s="849"/>
      <c r="J8" s="849"/>
      <c r="K8" s="849"/>
      <c r="L8" s="849"/>
      <c r="M8" s="849"/>
      <c r="N8" s="849" t="s">
        <v>55</v>
      </c>
      <c r="O8" s="762" t="s">
        <v>692</v>
      </c>
      <c r="S8" s="628"/>
    </row>
    <row r="9" spans="2:19">
      <c r="B9" s="861"/>
      <c r="C9" s="850"/>
      <c r="D9" s="849" t="s">
        <v>56</v>
      </c>
      <c r="E9" s="849"/>
      <c r="F9" s="849" t="s">
        <v>57</v>
      </c>
      <c r="G9" s="849"/>
      <c r="H9" s="849" t="s">
        <v>58</v>
      </c>
      <c r="I9" s="849"/>
      <c r="J9" s="849" t="s">
        <v>59</v>
      </c>
      <c r="K9" s="849"/>
      <c r="L9" s="849" t="s">
        <v>60</v>
      </c>
      <c r="M9" s="849"/>
      <c r="N9" s="849"/>
      <c r="O9" s="762"/>
    </row>
    <row r="10" spans="2:19">
      <c r="B10" s="861"/>
      <c r="C10" s="850"/>
      <c r="D10" s="520" t="s">
        <v>693</v>
      </c>
      <c r="E10" s="520" t="s">
        <v>694</v>
      </c>
      <c r="F10" s="520" t="s">
        <v>693</v>
      </c>
      <c r="G10" s="520" t="s">
        <v>694</v>
      </c>
      <c r="H10" s="520" t="s">
        <v>693</v>
      </c>
      <c r="I10" s="520" t="s">
        <v>694</v>
      </c>
      <c r="J10" s="520" t="s">
        <v>693</v>
      </c>
      <c r="K10" s="520" t="s">
        <v>694</v>
      </c>
      <c r="L10" s="520" t="s">
        <v>693</v>
      </c>
      <c r="M10" s="520" t="s">
        <v>694</v>
      </c>
      <c r="N10" s="849"/>
      <c r="O10" s="762"/>
    </row>
    <row r="11" spans="2:19">
      <c r="B11" s="585">
        <v>1</v>
      </c>
      <c r="C11" s="715" t="s">
        <v>591</v>
      </c>
      <c r="D11" s="561">
        <f>AVERAGE('F11'!K59:O59,'F11'!D133:J133)</f>
        <v>22653.880596806121</v>
      </c>
      <c r="E11" s="718">
        <f>(D11/$D$30)</f>
        <v>0.84885745892259168</v>
      </c>
      <c r="F11" s="561">
        <f>D11*$O11+D11</f>
        <v>24068.305225108124</v>
      </c>
      <c r="G11" s="718">
        <f>F11/$F$30</f>
        <v>0.85095945135327633</v>
      </c>
      <c r="H11" s="561">
        <f t="shared" ref="H11:H27" si="0">F11*$O11+F11</f>
        <v>25571.041302770787</v>
      </c>
      <c r="I11" s="718">
        <f>H11/$H$30</f>
        <v>0.85297941105358344</v>
      </c>
      <c r="J11" s="561">
        <f t="shared" ref="J11:J27" si="1">H11*$O11+H11</f>
        <v>27167.602670498047</v>
      </c>
      <c r="K11" s="718">
        <f>J11/$J$30</f>
        <v>0.85491980844535331</v>
      </c>
      <c r="L11" s="561">
        <f t="shared" ref="L11:L27" si="2">J11*$O11+J11</f>
        <v>28863.84743284103</v>
      </c>
      <c r="M11" s="718">
        <f>L11/$L$30</f>
        <v>0.85678295882966315</v>
      </c>
      <c r="N11" s="859" t="s">
        <v>695</v>
      </c>
      <c r="O11" s="714">
        <v>6.2436306321020263E-2</v>
      </c>
    </row>
    <row r="12" spans="2:19">
      <c r="B12" s="585">
        <v>2</v>
      </c>
      <c r="C12" s="715" t="s">
        <v>593</v>
      </c>
      <c r="D12" s="561">
        <f>AVERAGE('F11'!K60:O60,'F11'!D134:J134)</f>
        <v>910.1462373682624</v>
      </c>
      <c r="E12" s="718">
        <f t="shared" ref="E12:E29" si="3">(D12/$D$30)</f>
        <v>3.4103844548792436E-2</v>
      </c>
      <c r="F12" s="561">
        <f t="shared" ref="F12:F27" si="4">D12*$O12+D12</f>
        <v>972.67154236923352</v>
      </c>
      <c r="G12" s="718">
        <f t="shared" ref="G12:G29" si="5">F12/$F$30</f>
        <v>3.4389793311163631E-2</v>
      </c>
      <c r="H12" s="561">
        <f t="shared" si="0"/>
        <v>1039.4922161856257</v>
      </c>
      <c r="I12" s="718">
        <f t="shared" ref="I12:I29" si="6">H12/$H$30</f>
        <v>3.4674593336201889E-2</v>
      </c>
      <c r="J12" s="561">
        <f t="shared" si="1"/>
        <v>1110.9033424361467</v>
      </c>
      <c r="K12" s="718">
        <f t="shared" ref="K12:K29" si="7">J12/$J$30</f>
        <v>3.4958302513314929E-2</v>
      </c>
      <c r="L12" s="561">
        <f t="shared" si="2"/>
        <v>1187.2202764194858</v>
      </c>
      <c r="M12" s="718">
        <f t="shared" ref="M12:M29" si="8">L12/$L$30</f>
        <v>3.5240974148716839E-2</v>
      </c>
      <c r="N12" s="859"/>
      <c r="O12" s="714">
        <v>6.8698086564381589E-2</v>
      </c>
    </row>
    <row r="13" spans="2:19">
      <c r="B13" s="585">
        <v>3</v>
      </c>
      <c r="C13" s="715" t="s">
        <v>595</v>
      </c>
      <c r="D13" s="561">
        <f>AVERAGE('F11'!K61:O61,'F11'!D135:J135)</f>
        <v>1655.0274949930335</v>
      </c>
      <c r="E13" s="718">
        <f t="shared" si="3"/>
        <v>6.2015089549155543E-2</v>
      </c>
      <c r="F13" s="561">
        <f t="shared" si="4"/>
        <v>1735.3166551863696</v>
      </c>
      <c r="G13" s="718">
        <f t="shared" si="5"/>
        <v>6.1353888236431148E-2</v>
      </c>
      <c r="H13" s="561">
        <f t="shared" si="0"/>
        <v>1819.50082574301</v>
      </c>
      <c r="I13" s="718">
        <f t="shared" si="6"/>
        <v>6.0693529230098756E-2</v>
      </c>
      <c r="J13" s="561">
        <f t="shared" si="1"/>
        <v>1907.7689625032413</v>
      </c>
      <c r="K13" s="718">
        <f t="shared" si="7"/>
        <v>6.003435399739529E-2</v>
      </c>
      <c r="L13" s="561">
        <f t="shared" si="2"/>
        <v>2000.3191879863184</v>
      </c>
      <c r="M13" s="718">
        <f t="shared" si="8"/>
        <v>5.9376678610651046E-2</v>
      </c>
      <c r="N13" s="859"/>
      <c r="O13" s="714">
        <v>4.851228178156286E-2</v>
      </c>
    </row>
    <row r="14" spans="2:19">
      <c r="B14" s="585">
        <v>4</v>
      </c>
      <c r="C14" s="715" t="s">
        <v>597</v>
      </c>
      <c r="D14" s="561">
        <f>AVERAGE('F11'!K62:O62,'F11'!D136:J136)</f>
        <v>811.84709635118861</v>
      </c>
      <c r="E14" s="718">
        <f t="shared" si="3"/>
        <v>3.0420503908699593E-2</v>
      </c>
      <c r="F14" s="561">
        <f t="shared" si="4"/>
        <v>818.57104186115623</v>
      </c>
      <c r="G14" s="718">
        <f t="shared" si="5"/>
        <v>2.8941413122399024E-2</v>
      </c>
      <c r="H14" s="561">
        <f t="shared" si="0"/>
        <v>825.3506769750212</v>
      </c>
      <c r="I14" s="718">
        <f t="shared" si="6"/>
        <v>2.7531422206202697E-2</v>
      </c>
      <c r="J14" s="561">
        <f t="shared" si="1"/>
        <v>832.18646292971312</v>
      </c>
      <c r="K14" s="718">
        <f t="shared" si="7"/>
        <v>2.6187540362229679E-2</v>
      </c>
      <c r="L14" s="561">
        <f t="shared" si="2"/>
        <v>839.07886478225544</v>
      </c>
      <c r="M14" s="718">
        <f t="shared" si="8"/>
        <v>2.490688305265943E-2</v>
      </c>
      <c r="N14" s="859"/>
      <c r="O14" s="714">
        <v>8.2822806661353443E-3</v>
      </c>
    </row>
    <row r="15" spans="2:19">
      <c r="B15" s="585">
        <v>5</v>
      </c>
      <c r="C15" s="715" t="s">
        <v>599</v>
      </c>
      <c r="D15" s="561">
        <f>AVERAGE('F11'!K63:O63,'F11'!D137:J137)</f>
        <v>506.54351686222435</v>
      </c>
      <c r="E15" s="718">
        <f t="shared" si="3"/>
        <v>1.8980555703026102E-2</v>
      </c>
      <c r="F15" s="561">
        <f t="shared" si="4"/>
        <v>534.41338571650533</v>
      </c>
      <c r="G15" s="718">
        <f t="shared" si="5"/>
        <v>1.8894729697492493E-2</v>
      </c>
      <c r="H15" s="561">
        <f t="shared" si="0"/>
        <v>563.81664620269635</v>
      </c>
      <c r="I15" s="718">
        <f t="shared" si="6"/>
        <v>1.8807368269671183E-2</v>
      </c>
      <c r="J15" s="561">
        <f t="shared" si="1"/>
        <v>594.83766505783183</v>
      </c>
      <c r="K15" s="718">
        <f t="shared" si="7"/>
        <v>1.8718563755334844E-2</v>
      </c>
      <c r="L15" s="561">
        <f t="shared" si="2"/>
        <v>627.56545085092807</v>
      </c>
      <c r="M15" s="718">
        <f t="shared" si="8"/>
        <v>1.8628403059931426E-2</v>
      </c>
      <c r="N15" s="859"/>
      <c r="O15" s="714">
        <v>5.5019693129072955E-2</v>
      </c>
    </row>
    <row r="16" spans="2:19">
      <c r="B16" s="585">
        <v>6</v>
      </c>
      <c r="C16" s="715" t="s">
        <v>601</v>
      </c>
      <c r="D16" s="561">
        <f>AVERAGE('F11'!K64:O64,'F11'!D138:J138)</f>
        <v>9.4507539347799021</v>
      </c>
      <c r="E16" s="718">
        <f t="shared" si="3"/>
        <v>3.5412665550603239E-4</v>
      </c>
      <c r="F16" s="561">
        <f t="shared" si="4"/>
        <v>9.647068090235507</v>
      </c>
      <c r="G16" s="718">
        <f t="shared" si="5"/>
        <v>3.4108192049478328E-4</v>
      </c>
      <c r="H16" s="561">
        <f t="shared" si="0"/>
        <v>9.8474601476128232</v>
      </c>
      <c r="I16" s="718">
        <f t="shared" si="6"/>
        <v>3.2848411050723458E-4</v>
      </c>
      <c r="J16" s="561">
        <f t="shared" si="1"/>
        <v>10.052014814425908</v>
      </c>
      <c r="K16" s="718">
        <f t="shared" si="7"/>
        <v>3.1632038659675041E-4</v>
      </c>
      <c r="L16" s="561">
        <f t="shared" si="2"/>
        <v>10.260818557761038</v>
      </c>
      <c r="M16" s="718">
        <f t="shared" si="8"/>
        <v>3.0457805406531365E-4</v>
      </c>
      <c r="N16" s="859"/>
      <c r="O16" s="714">
        <v>2.0772327457722284E-2</v>
      </c>
    </row>
    <row r="17" spans="2:15">
      <c r="B17" s="585">
        <v>7</v>
      </c>
      <c r="C17" s="715" t="s">
        <v>603</v>
      </c>
      <c r="D17" s="561">
        <f>AVERAGE('F11'!K65:O65,'F11'!D139:J139)</f>
        <v>4.7613692735785582</v>
      </c>
      <c r="E17" s="718">
        <f t="shared" si="3"/>
        <v>1.7841198576511557E-4</v>
      </c>
      <c r="F17" s="561">
        <f t="shared" si="4"/>
        <v>4.9098936901825212</v>
      </c>
      <c r="G17" s="718">
        <f t="shared" si="5"/>
        <v>1.7359429347945963E-4</v>
      </c>
      <c r="H17" s="561">
        <f t="shared" si="0"/>
        <v>5.0630511232697799</v>
      </c>
      <c r="I17" s="718">
        <f t="shared" si="6"/>
        <v>1.6888942120604547E-4</v>
      </c>
      <c r="J17" s="561">
        <f t="shared" si="1"/>
        <v>5.2209860934668093</v>
      </c>
      <c r="K17" s="718">
        <f t="shared" si="7"/>
        <v>1.6429585212424894E-4</v>
      </c>
      <c r="L17" s="561">
        <f t="shared" si="2"/>
        <v>5.3838476295237996</v>
      </c>
      <c r="M17" s="718">
        <f t="shared" si="8"/>
        <v>1.5981199015981074E-4</v>
      </c>
      <c r="N17" s="859"/>
      <c r="O17" s="714">
        <v>3.1193635290617694E-2</v>
      </c>
    </row>
    <row r="18" spans="2:15">
      <c r="B18" s="585">
        <v>8</v>
      </c>
      <c r="C18" s="715" t="s">
        <v>605</v>
      </c>
      <c r="D18" s="561">
        <f>AVERAGE('F11'!K66:O66,'F11'!D140:J140)</f>
        <v>5.2546953107476844</v>
      </c>
      <c r="E18" s="718">
        <f t="shared" si="3"/>
        <v>1.9689727284616322E-4</v>
      </c>
      <c r="F18" s="561">
        <f t="shared" si="4"/>
        <v>5.3597556735183662</v>
      </c>
      <c r="G18" s="718">
        <f t="shared" si="5"/>
        <v>1.8949962220716807E-4</v>
      </c>
      <c r="H18" s="561">
        <f t="shared" si="0"/>
        <v>5.4669165728897013</v>
      </c>
      <c r="I18" s="718">
        <f t="shared" si="6"/>
        <v>1.8236125871484349E-4</v>
      </c>
      <c r="J18" s="561">
        <f t="shared" si="1"/>
        <v>5.5762200061848892</v>
      </c>
      <c r="K18" s="718">
        <f t="shared" si="7"/>
        <v>1.7547447956140687E-4</v>
      </c>
      <c r="L18" s="561">
        <f t="shared" si="2"/>
        <v>5.6877088104055016</v>
      </c>
      <c r="M18" s="718">
        <f t="shared" si="8"/>
        <v>1.6883168451050509E-4</v>
      </c>
      <c r="N18" s="859"/>
      <c r="O18" s="714">
        <v>1.9993616481586818E-2</v>
      </c>
    </row>
    <row r="19" spans="2:15">
      <c r="B19" s="585">
        <v>9</v>
      </c>
      <c r="C19" s="715" t="s">
        <v>607</v>
      </c>
      <c r="D19" s="561">
        <f>AVERAGE('F11'!K67:O67,'F11'!D141:J141)</f>
        <v>7.7174328814862889</v>
      </c>
      <c r="E19" s="718">
        <f t="shared" si="3"/>
        <v>2.8917784911904694E-4</v>
      </c>
      <c r="F19" s="561">
        <f t="shared" si="4"/>
        <v>9.1783141991477848</v>
      </c>
      <c r="G19" s="718">
        <f t="shared" si="5"/>
        <v>3.2450864912195735E-4</v>
      </c>
      <c r="H19" s="561">
        <f t="shared" si="0"/>
        <v>10.915734912365561</v>
      </c>
      <c r="I19" s="718">
        <f t="shared" si="6"/>
        <v>3.6411881027925599E-4</v>
      </c>
      <c r="J19" s="561">
        <f t="shared" si="1"/>
        <v>12.982042899348542</v>
      </c>
      <c r="K19" s="718">
        <f t="shared" si="7"/>
        <v>4.085235551826094E-4</v>
      </c>
      <c r="L19" s="561">
        <f t="shared" si="2"/>
        <v>15.439495296794711</v>
      </c>
      <c r="M19" s="718">
        <f t="shared" si="8"/>
        <v>4.5829983317377857E-4</v>
      </c>
      <c r="N19" s="859"/>
      <c r="O19" s="714">
        <v>0.18929627767363844</v>
      </c>
    </row>
    <row r="20" spans="2:15">
      <c r="B20" s="585">
        <v>10</v>
      </c>
      <c r="C20" s="715" t="s">
        <v>609</v>
      </c>
      <c r="D20" s="561">
        <f>AVERAGE('F11'!K68:O68,'F11'!D142:J142)</f>
        <v>13.595734156852755</v>
      </c>
      <c r="E20" s="718">
        <f t="shared" si="3"/>
        <v>5.0944209312201512E-4</v>
      </c>
      <c r="F20" s="561">
        <f t="shared" si="4"/>
        <v>14.683392889400977</v>
      </c>
      <c r="G20" s="718">
        <f t="shared" si="5"/>
        <v>5.1914631463683054E-4</v>
      </c>
      <c r="H20" s="561">
        <f t="shared" si="0"/>
        <v>15.858064320553057</v>
      </c>
      <c r="I20" s="718">
        <f t="shared" si="6"/>
        <v>5.2898128802949824E-4</v>
      </c>
      <c r="J20" s="561">
        <f t="shared" si="1"/>
        <v>17.126709466197301</v>
      </c>
      <c r="K20" s="718">
        <f t="shared" si="7"/>
        <v>5.3894940064184158E-4</v>
      </c>
      <c r="L20" s="561">
        <f t="shared" si="2"/>
        <v>18.496846223493087</v>
      </c>
      <c r="M20" s="718">
        <f t="shared" si="8"/>
        <v>5.490530211973828E-4</v>
      </c>
      <c r="N20" s="859"/>
      <c r="O20" s="714">
        <v>8.0000000000000071E-2</v>
      </c>
    </row>
    <row r="21" spans="2:15">
      <c r="B21" s="585">
        <v>11</v>
      </c>
      <c r="C21" s="715" t="s">
        <v>611</v>
      </c>
      <c r="D21" s="561">
        <f>AVERAGE('F11'!K69:O69,'F11'!D143:J143)</f>
        <v>8.1047084000753422</v>
      </c>
      <c r="E21" s="718">
        <f t="shared" si="3"/>
        <v>3.0368934577886339E-4</v>
      </c>
      <c r="F21" s="561">
        <f t="shared" si="4"/>
        <v>8.1047084000753422</v>
      </c>
      <c r="G21" s="718">
        <f t="shared" si="5"/>
        <v>2.8655022233603988E-4</v>
      </c>
      <c r="H21" s="561">
        <f t="shared" si="0"/>
        <v>8.1047084000753422</v>
      </c>
      <c r="I21" s="718">
        <f t="shared" si="6"/>
        <v>2.7035071884648715E-4</v>
      </c>
      <c r="J21" s="561">
        <f t="shared" si="1"/>
        <v>8.1047084000753422</v>
      </c>
      <c r="K21" s="718">
        <f t="shared" si="7"/>
        <v>2.5504185396608769E-4</v>
      </c>
      <c r="L21" s="561">
        <f t="shared" si="2"/>
        <v>8.1047084000753422</v>
      </c>
      <c r="M21" s="718">
        <f t="shared" si="8"/>
        <v>2.4057693831791056E-4</v>
      </c>
      <c r="N21" s="859"/>
      <c r="O21" s="714">
        <v>0</v>
      </c>
    </row>
    <row r="22" spans="2:15">
      <c r="B22" s="585">
        <v>12</v>
      </c>
      <c r="C22" s="715" t="s">
        <v>613</v>
      </c>
      <c r="D22" s="561">
        <f>AVERAGE('F11'!K70:O70,'F11'!D144:J144)</f>
        <v>5.4362904073447176</v>
      </c>
      <c r="E22" s="718">
        <f t="shared" si="3"/>
        <v>2.0370177380534516E-4</v>
      </c>
      <c r="F22" s="561">
        <f t="shared" si="4"/>
        <v>5.4362904073447176</v>
      </c>
      <c r="G22" s="718">
        <f t="shared" si="5"/>
        <v>1.9220558569305569E-4</v>
      </c>
      <c r="H22" s="561">
        <f t="shared" si="0"/>
        <v>5.4362904073447176</v>
      </c>
      <c r="I22" s="718">
        <f t="shared" si="6"/>
        <v>1.8133965430147301E-4</v>
      </c>
      <c r="J22" s="561">
        <f t="shared" si="1"/>
        <v>5.4362904073447176</v>
      </c>
      <c r="K22" s="718">
        <f t="shared" si="7"/>
        <v>1.7107112504804813E-4</v>
      </c>
      <c r="L22" s="561">
        <f t="shared" si="2"/>
        <v>5.4362904073447176</v>
      </c>
      <c r="M22" s="718">
        <f t="shared" si="8"/>
        <v>1.6136868070341199E-4</v>
      </c>
      <c r="N22" s="859"/>
      <c r="O22" s="714">
        <v>0</v>
      </c>
    </row>
    <row r="23" spans="2:15">
      <c r="B23" s="585">
        <v>13</v>
      </c>
      <c r="C23" s="715" t="s">
        <v>615</v>
      </c>
      <c r="D23" s="561">
        <f>AVERAGE('F11'!K71:O71,'F11'!D145:J145)</f>
        <v>1.5247287308021791</v>
      </c>
      <c r="E23" s="718">
        <f t="shared" si="3"/>
        <v>5.7132699646941769E-5</v>
      </c>
      <c r="F23" s="561">
        <f t="shared" si="4"/>
        <v>1.7058234270371437</v>
      </c>
      <c r="G23" s="718">
        <f t="shared" si="5"/>
        <v>6.0311125108335183E-5</v>
      </c>
      <c r="H23" s="561">
        <f t="shared" si="0"/>
        <v>1.9084270568561041</v>
      </c>
      <c r="I23" s="718">
        <f t="shared" si="6"/>
        <v>6.3659863034965861E-5</v>
      </c>
      <c r="J23" s="561">
        <f t="shared" si="1"/>
        <v>2.135094273893535</v>
      </c>
      <c r="K23" s="718">
        <f t="shared" si="7"/>
        <v>6.7187907957443963E-5</v>
      </c>
      <c r="L23" s="561">
        <f t="shared" si="2"/>
        <v>2.3886831524610286</v>
      </c>
      <c r="M23" s="718">
        <f t="shared" si="8"/>
        <v>7.0904719955786053E-5</v>
      </c>
      <c r="N23" s="859"/>
      <c r="O23" s="714">
        <v>0.11877174777161081</v>
      </c>
    </row>
    <row r="24" spans="2:15">
      <c r="B24" s="585">
        <v>14</v>
      </c>
      <c r="C24" s="715" t="s">
        <v>617</v>
      </c>
      <c r="D24" s="561">
        <f>AVERAGE('F11'!K72:O72,'F11'!D146:J146)</f>
        <v>0.60498985597579935</v>
      </c>
      <c r="E24" s="718">
        <f t="shared" si="3"/>
        <v>2.2669411963350998E-5</v>
      </c>
      <c r="F24" s="561">
        <f t="shared" si="4"/>
        <v>0.61659238639386782</v>
      </c>
      <c r="G24" s="718">
        <f t="shared" si="5"/>
        <v>2.1800251988119615E-5</v>
      </c>
      <c r="H24" s="561">
        <f t="shared" si="0"/>
        <v>0.62841743081076207</v>
      </c>
      <c r="I24" s="718">
        <f t="shared" si="6"/>
        <v>2.0962272270495602E-5</v>
      </c>
      <c r="J24" s="561">
        <f t="shared" si="1"/>
        <v>0.64046925661280985</v>
      </c>
      <c r="K24" s="718">
        <f t="shared" si="7"/>
        <v>2.0154514950012824E-5</v>
      </c>
      <c r="L24" s="561">
        <f t="shared" si="2"/>
        <v>0.65275221302652053</v>
      </c>
      <c r="M24" s="718">
        <f t="shared" si="8"/>
        <v>1.9376036883535626E-5</v>
      </c>
      <c r="N24" s="859"/>
      <c r="O24" s="714">
        <v>1.9178057786364944E-2</v>
      </c>
    </row>
    <row r="25" spans="2:15">
      <c r="B25" s="585">
        <v>15</v>
      </c>
      <c r="C25" s="715" t="s">
        <v>619</v>
      </c>
      <c r="D25" s="561">
        <f>AVERAGE('F11'!K73:O73,'F11'!D147:J147)</f>
        <v>27.811180341327091</v>
      </c>
      <c r="E25" s="718">
        <f t="shared" si="3"/>
        <v>1.0421052487362898E-3</v>
      </c>
      <c r="F25" s="561">
        <f t="shared" si="4"/>
        <v>29.017967451535803</v>
      </c>
      <c r="G25" s="718">
        <f t="shared" si="5"/>
        <v>1.0259598019467615E-3</v>
      </c>
      <c r="H25" s="561">
        <f t="shared" si="0"/>
        <v>30.277119657777558</v>
      </c>
      <c r="I25" s="718">
        <f t="shared" si="6"/>
        <v>1.0099612052674439E-3</v>
      </c>
      <c r="J25" s="561">
        <f t="shared" si="1"/>
        <v>31.590909194532948</v>
      </c>
      <c r="K25" s="718">
        <f t="shared" si="7"/>
        <v>9.9411399543666628E-4</v>
      </c>
      <c r="L25" s="561">
        <f t="shared" si="2"/>
        <v>32.961706893438418</v>
      </c>
      <c r="M25" s="718">
        <f t="shared" si="8"/>
        <v>9.7842218803110355E-4</v>
      </c>
      <c r="N25" s="859"/>
      <c r="O25" s="714">
        <v>4.3392157233090867E-2</v>
      </c>
    </row>
    <row r="26" spans="2:15">
      <c r="B26" s="585">
        <v>16</v>
      </c>
      <c r="C26" s="715" t="s">
        <v>620</v>
      </c>
      <c r="D26" s="561">
        <f>AVERAGE('F11'!G148:J148)</f>
        <v>15.168212673689592</v>
      </c>
      <c r="E26" s="718">
        <f t="shared" si="3"/>
        <v>5.6836401214195868E-4</v>
      </c>
      <c r="F26" s="561">
        <f t="shared" si="4"/>
        <v>15.168212673689592</v>
      </c>
      <c r="G26" s="718">
        <f t="shared" si="5"/>
        <v>5.3628761203125888E-4</v>
      </c>
      <c r="H26" s="561">
        <f t="shared" si="0"/>
        <v>15.168212673689592</v>
      </c>
      <c r="I26" s="718">
        <f t="shared" si="6"/>
        <v>5.0596973975155688E-4</v>
      </c>
      <c r="J26" s="561">
        <f t="shared" si="1"/>
        <v>15.168212673689592</v>
      </c>
      <c r="K26" s="718">
        <f t="shared" si="7"/>
        <v>4.7731872520098803E-4</v>
      </c>
      <c r="L26" s="561">
        <f t="shared" si="2"/>
        <v>15.168212673689592</v>
      </c>
      <c r="M26" s="718">
        <f t="shared" si="8"/>
        <v>4.5024718776523129E-4</v>
      </c>
      <c r="N26" s="717"/>
      <c r="O26" s="714">
        <v>0</v>
      </c>
    </row>
    <row r="27" spans="2:15">
      <c r="B27" s="585">
        <v>17</v>
      </c>
      <c r="C27" s="715" t="s">
        <v>621</v>
      </c>
      <c r="D27" s="561">
        <f>AVERAGE('F11'!G149:J149)</f>
        <v>10.621618110528988</v>
      </c>
      <c r="E27" s="718">
        <f t="shared" si="3"/>
        <v>3.9799979170990159E-4</v>
      </c>
      <c r="F27" s="561">
        <f t="shared" si="4"/>
        <v>10.621618110528988</v>
      </c>
      <c r="G27" s="718">
        <f t="shared" si="5"/>
        <v>3.7553812930669976E-4</v>
      </c>
      <c r="H27" s="561">
        <f t="shared" si="0"/>
        <v>10.621618110528988</v>
      </c>
      <c r="I27" s="718">
        <f t="shared" si="6"/>
        <v>3.5430788496569284E-4</v>
      </c>
      <c r="J27" s="561">
        <f t="shared" si="1"/>
        <v>10.621618110528988</v>
      </c>
      <c r="K27" s="718">
        <f t="shared" si="7"/>
        <v>3.3424486623157273E-4</v>
      </c>
      <c r="L27" s="561">
        <f t="shared" si="2"/>
        <v>10.621618110528988</v>
      </c>
      <c r="M27" s="718">
        <f t="shared" si="8"/>
        <v>3.1528788438451157E-4</v>
      </c>
      <c r="N27" s="717"/>
      <c r="O27" s="714">
        <v>0</v>
      </c>
    </row>
    <row r="28" spans="2:15">
      <c r="B28" s="585">
        <v>18</v>
      </c>
      <c r="C28" s="715" t="s">
        <v>696</v>
      </c>
      <c r="D28" s="561">
        <v>20</v>
      </c>
      <c r="E28" s="718">
        <f t="shared" si="3"/>
        <v>7.4941461379669197E-4</v>
      </c>
      <c r="F28" s="561">
        <v>20</v>
      </c>
      <c r="G28" s="718">
        <f t="shared" si="5"/>
        <v>7.0712037544343003E-4</v>
      </c>
      <c r="H28" s="561">
        <v>20</v>
      </c>
      <c r="I28" s="718">
        <f t="shared" si="6"/>
        <v>6.6714483853354658E-4</v>
      </c>
      <c r="J28" s="561">
        <v>20</v>
      </c>
      <c r="K28" s="718">
        <f t="shared" si="7"/>
        <v>6.2936713173719324E-4</v>
      </c>
      <c r="L28" s="561">
        <v>20</v>
      </c>
      <c r="M28" s="718">
        <f t="shared" si="8"/>
        <v>5.9367203961508135E-4</v>
      </c>
      <c r="N28" s="717"/>
      <c r="O28" s="714">
        <v>0</v>
      </c>
    </row>
    <row r="29" spans="2:15" ht="18">
      <c r="B29" s="592">
        <v>19</v>
      </c>
      <c r="C29" s="715" t="s">
        <v>697</v>
      </c>
      <c r="D29" s="561">
        <v>20</v>
      </c>
      <c r="E29" s="718">
        <f t="shared" si="3"/>
        <v>7.4941461379669197E-4</v>
      </c>
      <c r="F29" s="561">
        <v>20</v>
      </c>
      <c r="G29" s="718">
        <f t="shared" si="5"/>
        <v>7.0712037544343003E-4</v>
      </c>
      <c r="H29" s="561">
        <v>20</v>
      </c>
      <c r="I29" s="718">
        <f t="shared" si="6"/>
        <v>6.6714483853354658E-4</v>
      </c>
      <c r="J29" s="561">
        <v>20</v>
      </c>
      <c r="K29" s="718">
        <f t="shared" si="7"/>
        <v>6.2936713173719324E-4</v>
      </c>
      <c r="L29" s="561">
        <v>20</v>
      </c>
      <c r="M29" s="718">
        <f t="shared" si="8"/>
        <v>5.9367203961508135E-4</v>
      </c>
      <c r="N29" s="717"/>
      <c r="O29" s="714"/>
    </row>
    <row r="30" spans="2:15" s="512" customFormat="1">
      <c r="B30" s="586"/>
      <c r="C30" s="716" t="s">
        <v>698</v>
      </c>
      <c r="D30" s="484">
        <f>SUM(D11:D29)</f>
        <v>26687.496656458025</v>
      </c>
      <c r="E30" s="719">
        <f t="shared" ref="E30:M30" si="9">SUM(E11:E29)</f>
        <v>0.99999999999999978</v>
      </c>
      <c r="F30" s="484">
        <f t="shared" si="9"/>
        <v>28283.727487640481</v>
      </c>
      <c r="G30" s="719">
        <f t="shared" si="9"/>
        <v>0.99999999999999989</v>
      </c>
      <c r="H30" s="484">
        <f t="shared" si="9"/>
        <v>29978.497688690913</v>
      </c>
      <c r="I30" s="719">
        <f t="shared" si="9"/>
        <v>1</v>
      </c>
      <c r="J30" s="484">
        <f t="shared" si="9"/>
        <v>31777.954379021277</v>
      </c>
      <c r="K30" s="719">
        <f t="shared" si="9"/>
        <v>1.0000000000000002</v>
      </c>
      <c r="L30" s="484">
        <f t="shared" si="9"/>
        <v>33688.633901248548</v>
      </c>
      <c r="M30" s="719">
        <f t="shared" si="9"/>
        <v>1.0000000000000002</v>
      </c>
      <c r="N30" s="484"/>
      <c r="O30" s="714">
        <v>0</v>
      </c>
    </row>
    <row r="31" spans="2:15">
      <c r="D31" s="574"/>
      <c r="E31" s="552"/>
      <c r="F31" s="552"/>
      <c r="G31" s="574"/>
      <c r="H31" s="574"/>
    </row>
    <row r="32" spans="2:15">
      <c r="D32" s="574"/>
      <c r="E32" s="552"/>
      <c r="F32" s="552"/>
      <c r="G32" s="574"/>
      <c r="H32" s="574"/>
    </row>
    <row r="33" spans="2:9">
      <c r="B33" s="584" t="s">
        <v>699</v>
      </c>
      <c r="D33" s="574"/>
      <c r="E33" s="552"/>
      <c r="F33" s="552"/>
      <c r="G33" s="574"/>
      <c r="H33" s="574"/>
    </row>
    <row r="34" spans="2:9">
      <c r="B34" s="587"/>
      <c r="C34" s="507"/>
    </row>
    <row r="35" spans="2:9" s="576" customFormat="1">
      <c r="B35" s="860" t="s">
        <v>2</v>
      </c>
      <c r="C35" s="854" t="s">
        <v>53</v>
      </c>
      <c r="D35" s="854" t="s">
        <v>54</v>
      </c>
      <c r="E35" s="854"/>
      <c r="F35" s="854"/>
      <c r="G35" s="854"/>
      <c r="H35" s="854"/>
      <c r="I35" s="854" t="s">
        <v>55</v>
      </c>
    </row>
    <row r="36" spans="2:9" s="576" customFormat="1">
      <c r="B36" s="860"/>
      <c r="C36" s="854"/>
      <c r="D36" s="520" t="s">
        <v>56</v>
      </c>
      <c r="E36" s="520" t="s">
        <v>57</v>
      </c>
      <c r="F36" s="520" t="s">
        <v>58</v>
      </c>
      <c r="G36" s="520" t="s">
        <v>59</v>
      </c>
      <c r="H36" s="520" t="s">
        <v>60</v>
      </c>
      <c r="I36" s="854"/>
    </row>
    <row r="37" spans="2:9" s="576" customFormat="1">
      <c r="B37" s="860"/>
      <c r="C37" s="854"/>
      <c r="D37" s="577" t="s">
        <v>61</v>
      </c>
      <c r="E37" s="577" t="s">
        <v>61</v>
      </c>
      <c r="F37" s="577" t="s">
        <v>61</v>
      </c>
      <c r="G37" s="577" t="s">
        <v>61</v>
      </c>
      <c r="H37" s="577" t="s">
        <v>61</v>
      </c>
      <c r="I37" s="854"/>
    </row>
    <row r="38" spans="2:9" s="578" customFormat="1">
      <c r="B38" s="588">
        <v>1</v>
      </c>
      <c r="C38" s="297" t="s">
        <v>700</v>
      </c>
      <c r="D38" s="295">
        <f ca="1">'F1 '!E21</f>
        <v>874.00730207641686</v>
      </c>
      <c r="E38" s="295">
        <f ca="1">'F1 '!F21</f>
        <v>918.78278527886016</v>
      </c>
      <c r="F38" s="295">
        <f ca="1">'F1 '!G21</f>
        <v>929.52225398217411</v>
      </c>
      <c r="G38" s="295">
        <f ca="1">'F1 '!H21</f>
        <v>948.10402236097275</v>
      </c>
      <c r="H38" s="295">
        <f ca="1">'F1 '!I21</f>
        <v>947.66012896635698</v>
      </c>
      <c r="I38" s="295"/>
    </row>
    <row r="39" spans="2:9" s="578" customFormat="1">
      <c r="B39" s="589"/>
      <c r="C39" s="579"/>
      <c r="D39" s="295"/>
      <c r="E39" s="295"/>
      <c r="F39" s="295"/>
      <c r="G39" s="295"/>
      <c r="H39" s="295"/>
      <c r="I39" s="295"/>
    </row>
    <row r="40" spans="2:9" s="578" customFormat="1">
      <c r="B40" s="588">
        <v>2</v>
      </c>
      <c r="C40" s="580" t="s">
        <v>45</v>
      </c>
      <c r="D40" s="295"/>
      <c r="E40" s="295"/>
      <c r="F40" s="295"/>
      <c r="G40" s="295"/>
      <c r="H40" s="295"/>
      <c r="I40" s="295"/>
    </row>
    <row r="41" spans="2:9" s="578" customFormat="1" ht="18">
      <c r="B41" s="590" t="s">
        <v>590</v>
      </c>
      <c r="C41" s="575" t="s">
        <v>591</v>
      </c>
      <c r="D41" s="295">
        <f ca="1">$D$38*E11</f>
        <v>741.90761752037724</v>
      </c>
      <c r="E41" s="295">
        <f ca="1">$E$38*G11</f>
        <v>781.84689487373396</v>
      </c>
      <c r="F41" s="295">
        <f ca="1">$F$38*I11</f>
        <v>792.86334476291427</v>
      </c>
      <c r="G41" s="295">
        <f ca="1">$G$38*K11</f>
        <v>810.55290918311175</v>
      </c>
      <c r="H41" s="295">
        <f ca="1">$H$38*M11</f>
        <v>811.93904926069547</v>
      </c>
      <c r="I41" s="295"/>
    </row>
    <row r="42" spans="2:9" s="578" customFormat="1" ht="18">
      <c r="B42" s="590" t="s">
        <v>592</v>
      </c>
      <c r="C42" s="575" t="s">
        <v>593</v>
      </c>
      <c r="D42" s="295">
        <f t="shared" ref="D42:D59" ca="1" si="10">$D$38*E12</f>
        <v>29.807009164523592</v>
      </c>
      <c r="E42" s="295">
        <f t="shared" ref="E42:E59" ca="1" si="11">$E$38*G12</f>
        <v>31.596750083595236</v>
      </c>
      <c r="F42" s="295">
        <f t="shared" ref="F42:F59" ca="1" si="12">$F$38*I12</f>
        <v>32.230806153781657</v>
      </c>
      <c r="G42" s="295">
        <f t="shared" ref="G42:G59" ca="1" si="13">$G$38*K12</f>
        <v>33.144107227785589</v>
      </c>
      <c r="H42" s="295">
        <f t="shared" ref="H42:H59" ca="1" si="14">$H$38*M12</f>
        <v>33.396466106673053</v>
      </c>
      <c r="I42" s="295"/>
    </row>
    <row r="43" spans="2:9" s="578" customFormat="1" ht="18">
      <c r="B43" s="590" t="s">
        <v>594</v>
      </c>
      <c r="C43" s="575" t="s">
        <v>595</v>
      </c>
      <c r="D43" s="295">
        <f t="shared" ca="1" si="10"/>
        <v>54.201641104884828</v>
      </c>
      <c r="E43" s="295">
        <f t="shared" ca="1" si="11"/>
        <v>56.370896321556103</v>
      </c>
      <c r="F43" s="295">
        <f t="shared" ca="1" si="12"/>
        <v>56.415986092094364</v>
      </c>
      <c r="G43" s="295">
        <f t="shared" ca="1" si="13"/>
        <v>56.918812504773015</v>
      </c>
      <c r="H43" s="295">
        <f t="shared" ca="1" si="14"/>
        <v>56.268910909763498</v>
      </c>
      <c r="I43" s="295"/>
    </row>
    <row r="44" spans="2:9" s="578" customFormat="1" ht="18">
      <c r="B44" s="590" t="s">
        <v>596</v>
      </c>
      <c r="C44" s="575" t="s">
        <v>597</v>
      </c>
      <c r="D44" s="295">
        <f t="shared" ca="1" si="10"/>
        <v>26.587742549047626</v>
      </c>
      <c r="E44" s="295">
        <f t="shared" ca="1" si="11"/>
        <v>26.590872158503927</v>
      </c>
      <c r="F44" s="295">
        <f t="shared" ca="1" si="12"/>
        <v>25.591069624444412</v>
      </c>
      <c r="G44" s="295">
        <f t="shared" ca="1" si="13"/>
        <v>24.828512353170282</v>
      </c>
      <c r="H44" s="295">
        <f t="shared" ca="1" si="14"/>
        <v>23.603260005833206</v>
      </c>
      <c r="I44" s="295"/>
    </row>
    <row r="45" spans="2:9" ht="18">
      <c r="B45" s="590" t="s">
        <v>598</v>
      </c>
      <c r="C45" s="575" t="s">
        <v>599</v>
      </c>
      <c r="D45" s="295">
        <f t="shared" ca="1" si="10"/>
        <v>16.58914428191299</v>
      </c>
      <c r="E45" s="295">
        <f t="shared" ca="1" si="11"/>
        <v>17.360152378553348</v>
      </c>
      <c r="F45" s="295">
        <f t="shared" ca="1" si="12"/>
        <v>17.48186734549758</v>
      </c>
      <c r="G45" s="295">
        <f t="shared" ca="1" si="13"/>
        <v>17.747145589253282</v>
      </c>
      <c r="H45" s="295">
        <f t="shared" ca="1" si="14"/>
        <v>17.653394846211896</v>
      </c>
      <c r="I45" s="295"/>
    </row>
    <row r="46" spans="2:9" ht="18">
      <c r="B46" s="590" t="s">
        <v>600</v>
      </c>
      <c r="C46" s="575" t="s">
        <v>601</v>
      </c>
      <c r="D46" s="295">
        <f t="shared" ca="1" si="10"/>
        <v>0.30950928277217205</v>
      </c>
      <c r="E46" s="295">
        <f t="shared" ca="1" si="11"/>
        <v>0.31338019692045971</v>
      </c>
      <c r="F46" s="295">
        <f t="shared" ca="1" si="12"/>
        <v>0.30533329079601423</v>
      </c>
      <c r="G46" s="295">
        <f t="shared" ca="1" si="13"/>
        <v>0.29990463088715702</v>
      </c>
      <c r="H46" s="295">
        <f t="shared" ca="1" si="14"/>
        <v>0.28863647799585718</v>
      </c>
      <c r="I46" s="295"/>
    </row>
    <row r="47" spans="2:9" ht="18">
      <c r="B47" s="590" t="s">
        <v>602</v>
      </c>
      <c r="C47" s="575" t="s">
        <v>603</v>
      </c>
      <c r="D47" s="295">
        <f t="shared" ca="1" si="10"/>
        <v>0.15593337833666474</v>
      </c>
      <c r="E47" s="295">
        <f t="shared" ca="1" si="11"/>
        <v>0.15949544847157379</v>
      </c>
      <c r="F47" s="295">
        <f t="shared" ca="1" si="12"/>
        <v>0.15698647547318817</v>
      </c>
      <c r="G47" s="295">
        <f t="shared" ca="1" si="13"/>
        <v>0.15576955825622399</v>
      </c>
      <c r="H47" s="295">
        <f t="shared" ca="1" si="14"/>
        <v>0.15144745120521641</v>
      </c>
      <c r="I47" s="295"/>
    </row>
    <row r="48" spans="2:9" ht="18">
      <c r="B48" s="590" t="s">
        <v>604</v>
      </c>
      <c r="C48" s="575" t="s">
        <v>605</v>
      </c>
      <c r="D48" s="295">
        <f t="shared" ca="1" si="10"/>
        <v>0.17208965422647926</v>
      </c>
      <c r="E48" s="295">
        <f t="shared" ca="1" si="11"/>
        <v>0.17410899070079361</v>
      </c>
      <c r="F48" s="295">
        <f t="shared" ca="1" si="12"/>
        <v>0.16950884823964771</v>
      </c>
      <c r="G48" s="295">
        <f t="shared" ca="1" si="13"/>
        <v>0.16636805989386816</v>
      </c>
      <c r="H48" s="295">
        <f t="shared" ca="1" si="14"/>
        <v>0.15999505591683255</v>
      </c>
      <c r="I48" s="295"/>
    </row>
    <row r="49" spans="2:37" ht="18">
      <c r="B49" s="590" t="s">
        <v>606</v>
      </c>
      <c r="C49" s="575" t="s">
        <v>607</v>
      </c>
      <c r="D49" s="295">
        <f t="shared" ca="1" si="10"/>
        <v>0.25274355172879936</v>
      </c>
      <c r="E49" s="295">
        <f t="shared" ca="1" si="11"/>
        <v>0.29815296048735229</v>
      </c>
      <c r="F49" s="295">
        <f t="shared" ca="1" si="12"/>
        <v>0.33845653724808167</v>
      </c>
      <c r="G49" s="295">
        <f t="shared" ca="1" si="13"/>
        <v>0.38732282589783679</v>
      </c>
      <c r="H49" s="295">
        <f t="shared" ca="1" si="14"/>
        <v>0.4343124790107229</v>
      </c>
      <c r="I49" s="295"/>
    </row>
    <row r="50" spans="2:37" ht="18">
      <c r="B50" s="590" t="s">
        <v>608</v>
      </c>
      <c r="C50" s="575" t="s">
        <v>609</v>
      </c>
      <c r="D50" s="295">
        <f t="shared" ca="1" si="10"/>
        <v>0.44525610937373516</v>
      </c>
      <c r="E50" s="295">
        <f t="shared" ca="1" si="11"/>
        <v>0.47698269692928263</v>
      </c>
      <c r="F50" s="295">
        <f t="shared" ca="1" si="12"/>
        <v>0.49169987916357288</v>
      </c>
      <c r="G50" s="295">
        <f t="shared" ca="1" si="13"/>
        <v>0.51098009459756544</v>
      </c>
      <c r="H50" s="295">
        <f t="shared" ca="1" si="14"/>
        <v>0.52031565687727976</v>
      </c>
      <c r="I50" s="295"/>
    </row>
    <row r="51" spans="2:37" ht="18">
      <c r="B51" s="590" t="s">
        <v>610</v>
      </c>
      <c r="C51" s="575" t="s">
        <v>611</v>
      </c>
      <c r="D51" s="295">
        <f t="shared" ca="1" si="10"/>
        <v>0.26542670577353644</v>
      </c>
      <c r="E51" s="295">
        <f t="shared" ca="1" si="11"/>
        <v>0.26327741140018335</v>
      </c>
      <c r="F51" s="295">
        <f t="shared" ca="1" si="12"/>
        <v>0.25129700954788775</v>
      </c>
      <c r="G51" s="295">
        <f t="shared" ca="1" si="13"/>
        <v>0.24180620761564756</v>
      </c>
      <c r="H51" s="295">
        <f t="shared" ca="1" si="14"/>
        <v>0.22798517239268243</v>
      </c>
      <c r="I51" s="295"/>
    </row>
    <row r="52" spans="2:37" ht="18">
      <c r="B52" s="590" t="s">
        <v>612</v>
      </c>
      <c r="C52" s="575" t="s">
        <v>613</v>
      </c>
      <c r="D52" s="295">
        <f t="shared" ca="1" si="10"/>
        <v>0.17803683775179024</v>
      </c>
      <c r="E52" s="295">
        <f t="shared" ca="1" si="11"/>
        <v>0.17659518336922034</v>
      </c>
      <c r="F52" s="295">
        <f t="shared" ca="1" si="12"/>
        <v>0.16855924420265345</v>
      </c>
      <c r="G52" s="295">
        <f t="shared" ca="1" si="13"/>
        <v>0.1621932217678714</v>
      </c>
      <c r="H52" s="295">
        <f t="shared" ca="1" si="14"/>
        <v>0.1529226647665263</v>
      </c>
      <c r="I52" s="295"/>
    </row>
    <row r="53" spans="2:37" ht="18">
      <c r="B53" s="590" t="s">
        <v>614</v>
      </c>
      <c r="C53" s="575" t="s">
        <v>615</v>
      </c>
      <c r="D53" s="295">
        <f t="shared" ca="1" si="10"/>
        <v>4.9934396678765827E-2</v>
      </c>
      <c r="E53" s="295">
        <f t="shared" ca="1" si="11"/>
        <v>5.5412823510337994E-2</v>
      </c>
      <c r="F53" s="295">
        <f t="shared" ca="1" si="12"/>
        <v>5.9173259376457954E-2</v>
      </c>
      <c r="G53" s="295">
        <f t="shared" ca="1" si="13"/>
        <v>6.3701125788471424E-2</v>
      </c>
      <c r="H53" s="295">
        <f t="shared" ca="1" si="14"/>
        <v>6.7193576057623633E-2</v>
      </c>
      <c r="I53" s="295"/>
    </row>
    <row r="54" spans="2:37" ht="18">
      <c r="B54" s="590" t="s">
        <v>616</v>
      </c>
      <c r="C54" s="575" t="s">
        <v>617</v>
      </c>
      <c r="D54" s="295">
        <f t="shared" ca="1" si="10"/>
        <v>1.9813231589747255E-2</v>
      </c>
      <c r="E54" s="295">
        <f t="shared" ca="1" si="11"/>
        <v>2.0029696241425549E-2</v>
      </c>
      <c r="F54" s="295">
        <f t="shared" ca="1" si="12"/>
        <v>1.9484898569459098E-2</v>
      </c>
      <c r="G54" s="295">
        <f t="shared" ca="1" si="13"/>
        <v>1.9108576692841519E-2</v>
      </c>
      <c r="H54" s="295">
        <f t="shared" ca="1" si="14"/>
        <v>1.8361897611908262E-2</v>
      </c>
      <c r="I54" s="295"/>
    </row>
    <row r="55" spans="2:37" ht="18">
      <c r="B55" s="591" t="s">
        <v>618</v>
      </c>
      <c r="C55" s="575" t="s">
        <v>619</v>
      </c>
      <c r="D55" s="295">
        <f t="shared" ca="1" si="10"/>
        <v>0.91080759692767799</v>
      </c>
      <c r="E55" s="295">
        <f t="shared" ca="1" si="11"/>
        <v>0.94263420441679324</v>
      </c>
      <c r="F55" s="295">
        <f t="shared" ca="1" si="12"/>
        <v>0.93878141595474762</v>
      </c>
      <c r="G55" s="295">
        <f t="shared" ca="1" si="13"/>
        <v>0.94252347775884104</v>
      </c>
      <c r="H55" s="295">
        <f t="shared" ca="1" si="14"/>
        <v>0.92721169689310079</v>
      </c>
      <c r="I55" s="295"/>
      <c r="Q55" s="590"/>
    </row>
    <row r="56" spans="2:37" ht="18">
      <c r="B56" s="592" t="s">
        <v>666</v>
      </c>
      <c r="C56" s="575" t="s">
        <v>620</v>
      </c>
      <c r="D56" s="295">
        <f t="shared" ca="1" si="10"/>
        <v>0.49675429684952116</v>
      </c>
      <c r="E56" s="295">
        <f t="shared" ca="1" si="11"/>
        <v>0.49273182589262882</v>
      </c>
      <c r="F56" s="295">
        <f t="shared" ca="1" si="12"/>
        <v>0.47031013294064117</v>
      </c>
      <c r="G56" s="295">
        <f t="shared" ca="1" si="13"/>
        <v>0.45254780331126854</v>
      </c>
      <c r="H56" s="295">
        <f t="shared" ca="1" si="14"/>
        <v>0.42668130802433862</v>
      </c>
      <c r="I56" s="295"/>
      <c r="Q56" s="590"/>
    </row>
    <row r="57" spans="2:37" ht="18">
      <c r="B57" s="592" t="s">
        <v>667</v>
      </c>
      <c r="C57" s="575" t="s">
        <v>621</v>
      </c>
      <c r="D57" s="295">
        <f t="shared" ca="1" si="10"/>
        <v>0.34785472417934693</v>
      </c>
      <c r="E57" s="295">
        <f t="shared" ca="1" si="11"/>
        <v>0.34503796842282236</v>
      </c>
      <c r="F57" s="295">
        <f t="shared" ca="1" si="12"/>
        <v>0.32933706383696765</v>
      </c>
      <c r="G57" s="295">
        <f t="shared" ca="1" si="13"/>
        <v>0.31689890212765937</v>
      </c>
      <c r="H57" s="295">
        <f t="shared" ca="1" si="14"/>
        <v>0.29878575717735606</v>
      </c>
      <c r="I57" s="295"/>
      <c r="Q57" s="590"/>
    </row>
    <row r="58" spans="2:37" ht="18">
      <c r="B58" s="592" t="s">
        <v>668</v>
      </c>
      <c r="C58" s="715" t="s">
        <v>696</v>
      </c>
      <c r="D58" s="295">
        <f t="shared" ca="1" si="10"/>
        <v>0.65499384474108668</v>
      </c>
      <c r="E58" s="295">
        <f t="shared" ca="1" si="11"/>
        <v>0.64969002807734799</v>
      </c>
      <c r="F58" s="295">
        <f t="shared" ca="1" si="12"/>
        <v>0.62012597404627579</v>
      </c>
      <c r="G58" s="295">
        <f t="shared" ca="1" si="13"/>
        <v>0.59670550914182119</v>
      </c>
      <c r="H58" s="295">
        <f t="shared" ca="1" si="14"/>
        <v>0.5625993216253482</v>
      </c>
      <c r="I58" s="295"/>
      <c r="Q58" s="590"/>
    </row>
    <row r="59" spans="2:37" ht="18">
      <c r="B59" s="592" t="s">
        <v>701</v>
      </c>
      <c r="C59" s="715" t="s">
        <v>697</v>
      </c>
      <c r="D59" s="295">
        <f t="shared" ca="1" si="10"/>
        <v>0.65499384474108668</v>
      </c>
      <c r="E59" s="295">
        <f t="shared" ca="1" si="11"/>
        <v>0.64969002807734799</v>
      </c>
      <c r="F59" s="295">
        <f t="shared" ca="1" si="12"/>
        <v>0.62012597404627579</v>
      </c>
      <c r="G59" s="295">
        <f t="shared" ca="1" si="13"/>
        <v>0.59670550914182119</v>
      </c>
      <c r="H59" s="295">
        <f t="shared" ca="1" si="14"/>
        <v>0.5625993216253482</v>
      </c>
      <c r="I59" s="295"/>
      <c r="Q59" s="590"/>
    </row>
    <row r="60" spans="2:37" s="512" customFormat="1" ht="18">
      <c r="B60" s="588"/>
      <c r="C60" s="580" t="s">
        <v>219</v>
      </c>
      <c r="D60" s="296">
        <f ca="1">SUM(D41:D59)</f>
        <v>874.00730207641686</v>
      </c>
      <c r="E60" s="296">
        <f t="shared" ref="E60:H60" ca="1" si="15">SUM(E41:E59)</f>
        <v>918.78278527886005</v>
      </c>
      <c r="F60" s="296">
        <f t="shared" ca="1" si="15"/>
        <v>929.52225398217433</v>
      </c>
      <c r="G60" s="296">
        <f t="shared" ca="1" si="15"/>
        <v>948.10402236097275</v>
      </c>
      <c r="H60" s="296">
        <f t="shared" ca="1" si="15"/>
        <v>947.66012896635732</v>
      </c>
      <c r="I60" s="296"/>
      <c r="Q60" s="590"/>
      <c r="R60" s="363"/>
      <c r="S60" s="363"/>
      <c r="T60" s="363"/>
      <c r="U60" s="363"/>
      <c r="V60" s="363"/>
      <c r="W60" s="363"/>
      <c r="X60" s="363"/>
      <c r="Y60" s="363"/>
      <c r="Z60" s="363"/>
      <c r="AA60" s="363"/>
      <c r="AB60" s="363"/>
      <c r="AC60" s="363"/>
      <c r="AD60" s="363"/>
      <c r="AE60" s="363"/>
      <c r="AF60" s="363"/>
      <c r="AG60" s="363"/>
      <c r="AH60" s="363"/>
      <c r="AI60" s="363"/>
      <c r="AJ60" s="363"/>
      <c r="AK60" s="363"/>
    </row>
    <row r="61" spans="2:37" ht="18">
      <c r="C61" s="507"/>
      <c r="Q61" s="590"/>
    </row>
    <row r="62" spans="2:37" ht="18">
      <c r="Q62" s="590"/>
    </row>
    <row r="63" spans="2:37" ht="18">
      <c r="Q63" s="590"/>
    </row>
    <row r="64" spans="2:37" ht="18">
      <c r="Q64" s="590"/>
    </row>
    <row r="65" spans="17:17" ht="18">
      <c r="Q65" s="590"/>
    </row>
    <row r="66" spans="17:17" ht="18">
      <c r="Q66" s="590"/>
    </row>
    <row r="67" spans="17:17" ht="18">
      <c r="Q67" s="590"/>
    </row>
    <row r="68" spans="17:17" ht="18">
      <c r="Q68" s="590"/>
    </row>
    <row r="69" spans="17:17" ht="18">
      <c r="Q69" s="591"/>
    </row>
    <row r="70" spans="17:17" ht="13.9" customHeight="1">
      <c r="Q70" s="592"/>
    </row>
    <row r="71" spans="17:17" ht="18">
      <c r="Q71" s="592"/>
    </row>
    <row r="72" spans="17:17" ht="18">
      <c r="Q72" s="592"/>
    </row>
    <row r="73" spans="17:17" ht="18">
      <c r="Q73" s="592"/>
    </row>
  </sheetData>
  <mergeCells count="15">
    <mergeCell ref="O8:O10"/>
    <mergeCell ref="N11:N25"/>
    <mergeCell ref="B35:B37"/>
    <mergeCell ref="C35:C37"/>
    <mergeCell ref="D35:H35"/>
    <mergeCell ref="I35:I37"/>
    <mergeCell ref="B8:B10"/>
    <mergeCell ref="C8:C10"/>
    <mergeCell ref="D8:M8"/>
    <mergeCell ref="N8:N10"/>
    <mergeCell ref="D9:E9"/>
    <mergeCell ref="F9:G9"/>
    <mergeCell ref="H9:I9"/>
    <mergeCell ref="J9:K9"/>
    <mergeCell ref="L9:M9"/>
  </mergeCells>
  <pageMargins left="1.0236220472440944" right="0.23622047244094491" top="0.98425196850393704" bottom="0.98425196850393704" header="0.23622047244094491" footer="0.23622047244094491"/>
  <pageSetup paperSize="9" scale="40" orientation="landscape" r:id="rId1"/>
  <headerFooter alignWithMargins="0">
    <oddHeader>&amp;F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AA77"/>
  <sheetViews>
    <sheetView showGridLines="0" view="pageBreakPreview" zoomScale="56" zoomScaleNormal="75" zoomScaleSheetLayoutView="25" workbookViewId="0">
      <selection activeCell="D60" sqref="D60:H60"/>
    </sheetView>
  </sheetViews>
  <sheetFormatPr defaultColWidth="9.140625" defaultRowHeight="13.9"/>
  <cols>
    <col min="1" max="1" width="4.140625" style="115" customWidth="1"/>
    <col min="2" max="2" width="9.42578125" style="115" customWidth="1"/>
    <col min="3" max="3" width="57.42578125" style="115" customWidth="1"/>
    <col min="4" max="4" width="11.85546875" style="115" bestFit="1" customWidth="1"/>
    <col min="5" max="9" width="19.42578125" style="115" customWidth="1"/>
    <col min="10" max="13" width="15.85546875" style="115" customWidth="1"/>
    <col min="14" max="14" width="14.85546875" style="115" customWidth="1"/>
    <col min="15" max="15" width="26.7109375" style="115" customWidth="1"/>
    <col min="16" max="16" width="9.28515625" style="115" bestFit="1" customWidth="1"/>
    <col min="17" max="17" width="8.28515625" style="115" customWidth="1"/>
    <col min="18" max="18" width="10.7109375" style="115" customWidth="1"/>
    <col min="19" max="22" width="10.7109375" style="115" bestFit="1" customWidth="1"/>
    <col min="23" max="16384" width="9.140625" style="115"/>
  </cols>
  <sheetData>
    <row r="1" spans="2:23">
      <c r="B1" s="52"/>
    </row>
    <row r="2" spans="2:23">
      <c r="B2" s="44"/>
      <c r="D2" s="321"/>
      <c r="E2" s="52" t="s">
        <v>0</v>
      </c>
      <c r="F2" s="52"/>
      <c r="G2" s="321"/>
      <c r="H2" s="321"/>
    </row>
    <row r="3" spans="2:23">
      <c r="B3" s="44"/>
      <c r="D3" s="321"/>
      <c r="E3" s="55" t="s">
        <v>1</v>
      </c>
      <c r="F3" s="55"/>
      <c r="G3" s="321"/>
      <c r="H3" s="321"/>
    </row>
    <row r="4" spans="2:23">
      <c r="D4" s="321"/>
      <c r="E4" s="44" t="s">
        <v>702</v>
      </c>
      <c r="F4" s="44"/>
      <c r="G4" s="321"/>
      <c r="H4" s="321"/>
    </row>
    <row r="5" spans="2:23">
      <c r="D5" s="321"/>
      <c r="E5" s="44"/>
      <c r="F5" s="44"/>
      <c r="G5" s="321"/>
      <c r="H5" s="321"/>
    </row>
    <row r="6" spans="2:23">
      <c r="B6" s="52" t="s">
        <v>691</v>
      </c>
      <c r="D6" s="321"/>
      <c r="E6" s="44"/>
      <c r="F6" s="44"/>
      <c r="G6" s="321"/>
      <c r="H6" s="321"/>
    </row>
    <row r="7" spans="2:23">
      <c r="D7" s="321"/>
      <c r="E7" s="44"/>
      <c r="F7" s="44"/>
      <c r="G7" s="321"/>
      <c r="H7" s="321"/>
    </row>
    <row r="8" spans="2:23">
      <c r="B8" s="788" t="s">
        <v>2</v>
      </c>
      <c r="C8" s="791" t="s">
        <v>53</v>
      </c>
      <c r="D8" s="748" t="s">
        <v>54</v>
      </c>
      <c r="E8" s="748"/>
      <c r="F8" s="748"/>
      <c r="G8" s="748"/>
      <c r="H8" s="748"/>
      <c r="I8" s="748"/>
      <c r="J8" s="748"/>
      <c r="K8" s="748"/>
      <c r="L8" s="748"/>
      <c r="M8" s="748"/>
      <c r="N8" s="748" t="s">
        <v>55</v>
      </c>
      <c r="O8" s="762" t="s">
        <v>692</v>
      </c>
    </row>
    <row r="9" spans="2:23">
      <c r="B9" s="788"/>
      <c r="C9" s="791"/>
      <c r="D9" s="827" t="s">
        <v>56</v>
      </c>
      <c r="E9" s="827"/>
      <c r="F9" s="827" t="s">
        <v>57</v>
      </c>
      <c r="G9" s="827"/>
      <c r="H9" s="827" t="s">
        <v>58</v>
      </c>
      <c r="I9" s="827"/>
      <c r="J9" s="827" t="s">
        <v>59</v>
      </c>
      <c r="K9" s="827"/>
      <c r="L9" s="827" t="s">
        <v>60</v>
      </c>
      <c r="M9" s="827"/>
      <c r="N9" s="748"/>
      <c r="O9" s="762"/>
      <c r="R9" s="597"/>
      <c r="S9" s="597"/>
      <c r="T9" s="597"/>
      <c r="U9" s="597"/>
      <c r="V9" s="597"/>
      <c r="W9" s="597"/>
    </row>
    <row r="10" spans="2:23">
      <c r="B10" s="788"/>
      <c r="C10" s="791"/>
      <c r="D10" s="153" t="s">
        <v>693</v>
      </c>
      <c r="E10" s="153" t="s">
        <v>694</v>
      </c>
      <c r="F10" s="153" t="s">
        <v>693</v>
      </c>
      <c r="G10" s="153" t="s">
        <v>694</v>
      </c>
      <c r="H10" s="153" t="s">
        <v>693</v>
      </c>
      <c r="I10" s="153" t="s">
        <v>694</v>
      </c>
      <c r="J10" s="153" t="s">
        <v>693</v>
      </c>
      <c r="K10" s="153" t="s">
        <v>694</v>
      </c>
      <c r="L10" s="153" t="s">
        <v>693</v>
      </c>
      <c r="M10" s="153" t="s">
        <v>694</v>
      </c>
      <c r="N10" s="748"/>
      <c r="O10" s="762"/>
      <c r="R10" s="597"/>
      <c r="S10" s="597"/>
      <c r="T10" s="597"/>
      <c r="U10" s="597"/>
      <c r="V10" s="597"/>
      <c r="W10" s="597"/>
    </row>
    <row r="11" spans="2:23">
      <c r="B11" s="158">
        <v>1</v>
      </c>
      <c r="C11" s="150" t="s">
        <v>591</v>
      </c>
      <c r="D11" s="561">
        <f>'F12_Including POA'!D11-'POA Data'!V5</f>
        <v>21660.581033747687</v>
      </c>
      <c r="E11" s="718">
        <f>(D11/$D$30)</f>
        <v>0.84301451238232805</v>
      </c>
      <c r="F11" s="561">
        <f>'F12_Including POA'!F11-'F11'!E167</f>
        <v>22864.605297284255</v>
      </c>
      <c r="G11" s="718">
        <f>F11/$F$30</f>
        <v>0.84433463912763818</v>
      </c>
      <c r="H11" s="561">
        <f>'F12_Including POA'!H11-'F11'!F167</f>
        <v>24112.374078774486</v>
      </c>
      <c r="I11" s="718">
        <f>H11/$H$30</f>
        <v>0.84545993738019509</v>
      </c>
      <c r="J11" s="561">
        <f>'F12_Including POA'!J11-'F11'!G167</f>
        <v>25399.961067156175</v>
      </c>
      <c r="K11" s="718">
        <f>J11/$J$30</f>
        <v>0.84637441992075813</v>
      </c>
      <c r="L11" s="561">
        <f>'F12_Including POA'!L11-'F11'!H167</f>
        <v>26721.784605581022</v>
      </c>
      <c r="M11" s="718">
        <f>L11/$L$30</f>
        <v>0.84705829178418157</v>
      </c>
      <c r="N11" s="862" t="s">
        <v>703</v>
      </c>
      <c r="O11" s="714">
        <v>6.2436306321020263E-2</v>
      </c>
      <c r="R11" s="597"/>
      <c r="S11" s="597"/>
      <c r="T11" s="597"/>
      <c r="U11" s="597"/>
      <c r="V11" s="597"/>
      <c r="W11" s="597"/>
    </row>
    <row r="12" spans="2:23">
      <c r="B12" s="158">
        <v>2</v>
      </c>
      <c r="C12" s="150" t="s">
        <v>593</v>
      </c>
      <c r="D12" s="561">
        <f>'F12_Including POA'!D12</f>
        <v>910.1462373682624</v>
      </c>
      <c r="E12" s="718">
        <f t="shared" ref="E12:E29" si="0">(D12/$D$30)</f>
        <v>3.5422248613561996E-2</v>
      </c>
      <c r="F12" s="561">
        <f t="shared" ref="F12:F27" si="1">D12*$O12+D12</f>
        <v>972.67154236923352</v>
      </c>
      <c r="G12" s="718">
        <f t="shared" ref="G12:G29" si="2">F12/$F$30</f>
        <v>3.5918410356884457E-2</v>
      </c>
      <c r="H12" s="561">
        <f t="shared" ref="H12:H27" si="3">F12*$O12+F12</f>
        <v>1039.4922161856257</v>
      </c>
      <c r="I12" s="718">
        <f t="shared" ref="I12:I29" si="4">H12/$H$30</f>
        <v>3.6448050330188261E-2</v>
      </c>
      <c r="J12" s="561">
        <f>'F12_Including POA'!J12</f>
        <v>1110.9033424361467</v>
      </c>
      <c r="K12" s="718">
        <f t="shared" ref="K12:K29" si="5">J12/$J$30</f>
        <v>3.7017386347816789E-2</v>
      </c>
      <c r="L12" s="561">
        <f>'F12_Including POA'!L12</f>
        <v>1187.2202764194858</v>
      </c>
      <c r="M12" s="718">
        <f t="shared" ref="M12:M28" si="6">L12/$L$30</f>
        <v>3.7633892876503386E-2</v>
      </c>
      <c r="N12" s="863"/>
      <c r="O12" s="714">
        <v>6.8698086564381589E-2</v>
      </c>
      <c r="R12" s="597"/>
      <c r="S12" s="597"/>
      <c r="T12" s="597"/>
      <c r="U12" s="597"/>
      <c r="V12" s="597"/>
      <c r="W12" s="597"/>
    </row>
    <row r="13" spans="2:23">
      <c r="B13" s="158">
        <v>3</v>
      </c>
      <c r="C13" s="150" t="s">
        <v>595</v>
      </c>
      <c r="D13" s="561">
        <f>'F12_Including POA'!D13</f>
        <v>1655.0274949930335</v>
      </c>
      <c r="E13" s="718">
        <f t="shared" si="0"/>
        <v>6.4412500961868249E-2</v>
      </c>
      <c r="F13" s="561">
        <f t="shared" si="1"/>
        <v>1735.3166551863696</v>
      </c>
      <c r="G13" s="718">
        <f t="shared" si="2"/>
        <v>6.4081052035610306E-2</v>
      </c>
      <c r="H13" s="561">
        <f t="shared" si="3"/>
        <v>1819.50082574301</v>
      </c>
      <c r="I13" s="718">
        <f t="shared" si="4"/>
        <v>6.3797743398068721E-2</v>
      </c>
      <c r="J13" s="561">
        <f>'F12_Including POA'!J13</f>
        <v>1907.7689625032413</v>
      </c>
      <c r="K13" s="718">
        <f t="shared" si="5"/>
        <v>6.357044582518688E-2</v>
      </c>
      <c r="L13" s="561">
        <f>'F12_Including POA'!L13</f>
        <v>2000.3191879863184</v>
      </c>
      <c r="M13" s="718">
        <f t="shared" si="6"/>
        <v>6.3408450423813684E-2</v>
      </c>
      <c r="N13" s="863"/>
      <c r="O13" s="714">
        <v>4.851228178156286E-2</v>
      </c>
      <c r="R13" s="597"/>
      <c r="S13" s="597"/>
      <c r="T13" s="597"/>
      <c r="U13" s="597"/>
      <c r="V13" s="597"/>
      <c r="W13" s="597"/>
    </row>
    <row r="14" spans="2:23">
      <c r="B14" s="158">
        <v>4</v>
      </c>
      <c r="C14" s="150" t="s">
        <v>597</v>
      </c>
      <c r="D14" s="561">
        <f>'F12_Including POA'!D14</f>
        <v>811.84709635118861</v>
      </c>
      <c r="E14" s="718">
        <f t="shared" si="0"/>
        <v>3.1596515485581705E-2</v>
      </c>
      <c r="F14" s="561">
        <f t="shared" si="1"/>
        <v>818.57104186115623</v>
      </c>
      <c r="G14" s="718">
        <f t="shared" si="2"/>
        <v>3.022785113689521E-2</v>
      </c>
      <c r="H14" s="561">
        <f t="shared" si="3"/>
        <v>825.3506769750212</v>
      </c>
      <c r="I14" s="718">
        <f t="shared" si="4"/>
        <v>2.8939536579529909E-2</v>
      </c>
      <c r="J14" s="561">
        <f>'F12_Including POA'!J14</f>
        <v>832.18646292971312</v>
      </c>
      <c r="K14" s="718">
        <f t="shared" si="5"/>
        <v>2.7730016316395194E-2</v>
      </c>
      <c r="L14" s="561">
        <f>'F12_Including POA'!L14</f>
        <v>839.07886478225544</v>
      </c>
      <c r="M14" s="718">
        <f t="shared" si="6"/>
        <v>2.6598100402554063E-2</v>
      </c>
      <c r="N14" s="863"/>
      <c r="O14" s="714">
        <v>8.2822806661353443E-3</v>
      </c>
      <c r="R14" s="597"/>
      <c r="S14" s="597"/>
      <c r="T14" s="597"/>
      <c r="U14" s="597"/>
      <c r="V14" s="597"/>
      <c r="W14" s="597"/>
    </row>
    <row r="15" spans="2:23">
      <c r="B15" s="158">
        <v>5</v>
      </c>
      <c r="C15" s="150" t="s">
        <v>599</v>
      </c>
      <c r="D15" s="561">
        <f>'F12_Including POA'!D15</f>
        <v>506.54351686222435</v>
      </c>
      <c r="E15" s="718">
        <f t="shared" si="0"/>
        <v>1.9714315844192965E-2</v>
      </c>
      <c r="F15" s="561">
        <f t="shared" si="1"/>
        <v>534.41338571650533</v>
      </c>
      <c r="G15" s="718">
        <f t="shared" si="2"/>
        <v>1.9734595341014655E-2</v>
      </c>
      <c r="H15" s="561">
        <f t="shared" si="3"/>
        <v>563.81664620269635</v>
      </c>
      <c r="I15" s="718">
        <f t="shared" si="4"/>
        <v>1.9769284635147415E-2</v>
      </c>
      <c r="J15" s="561">
        <f>'F12_Including POA'!J15</f>
        <v>594.83766505783183</v>
      </c>
      <c r="K15" s="718">
        <f t="shared" si="5"/>
        <v>1.9821108480411874E-2</v>
      </c>
      <c r="L15" s="561">
        <f>'F12_Including POA'!L15</f>
        <v>627.56545085092807</v>
      </c>
      <c r="M15" s="718">
        <f t="shared" si="6"/>
        <v>1.9893301537560179E-2</v>
      </c>
      <c r="N15" s="863"/>
      <c r="O15" s="714">
        <v>5.5019693129072955E-2</v>
      </c>
      <c r="R15" s="597"/>
      <c r="S15" s="597"/>
      <c r="T15" s="597"/>
      <c r="U15" s="597"/>
      <c r="V15" s="597"/>
      <c r="W15" s="597"/>
    </row>
    <row r="16" spans="2:23">
      <c r="B16" s="158">
        <v>6</v>
      </c>
      <c r="C16" s="150" t="s">
        <v>601</v>
      </c>
      <c r="D16" s="561">
        <f>'F12_Including POA'!D16</f>
        <v>9.4507539347799021</v>
      </c>
      <c r="E16" s="718">
        <f t="shared" si="0"/>
        <v>3.6781666694724789E-4</v>
      </c>
      <c r="F16" s="561">
        <f t="shared" si="1"/>
        <v>9.647068090235507</v>
      </c>
      <c r="G16" s="718">
        <f t="shared" si="2"/>
        <v>3.5624291994999866E-4</v>
      </c>
      <c r="H16" s="561">
        <f t="shared" si="3"/>
        <v>9.8474601476128232</v>
      </c>
      <c r="I16" s="718">
        <f t="shared" si="4"/>
        <v>3.4528466639390556E-4</v>
      </c>
      <c r="J16" s="561">
        <f>'F12_Including POA'!J16</f>
        <v>10.052014814425908</v>
      </c>
      <c r="K16" s="718">
        <f t="shared" si="5"/>
        <v>3.3495201764681837E-4</v>
      </c>
      <c r="L16" s="561">
        <f>'F12_Including POA'!L16</f>
        <v>10.260818557761038</v>
      </c>
      <c r="M16" s="718">
        <f t="shared" si="6"/>
        <v>3.2525939296843275E-4</v>
      </c>
      <c r="N16" s="863"/>
      <c r="O16" s="714">
        <v>2.0772327457722284E-2</v>
      </c>
      <c r="R16" s="597"/>
      <c r="S16" s="597"/>
      <c r="T16" s="597"/>
      <c r="U16" s="597"/>
      <c r="V16" s="597"/>
      <c r="W16" s="597"/>
    </row>
    <row r="17" spans="2:23">
      <c r="B17" s="158">
        <v>7</v>
      </c>
      <c r="C17" s="150" t="s">
        <v>603</v>
      </c>
      <c r="D17" s="561">
        <f>'F12_Including POA'!D17</f>
        <v>4.7613692735785582</v>
      </c>
      <c r="E17" s="718">
        <f t="shared" si="0"/>
        <v>1.8530912860482705E-4</v>
      </c>
      <c r="F17" s="561">
        <f t="shared" si="1"/>
        <v>4.9098936901825212</v>
      </c>
      <c r="G17" s="718">
        <f t="shared" si="2"/>
        <v>1.8131051304645613E-4</v>
      </c>
      <c r="H17" s="561">
        <f t="shared" si="3"/>
        <v>5.0630511232697799</v>
      </c>
      <c r="I17" s="718">
        <f t="shared" si="4"/>
        <v>1.775273920207013E-4</v>
      </c>
      <c r="J17" s="561">
        <f>'F12_Including POA'!J17</f>
        <v>5.2209860934668093</v>
      </c>
      <c r="K17" s="718">
        <f t="shared" si="5"/>
        <v>1.7397306494245998E-4</v>
      </c>
      <c r="L17" s="561">
        <f>'F12_Including POA'!L17</f>
        <v>5.3838476295237996</v>
      </c>
      <c r="M17" s="718">
        <f t="shared" si="6"/>
        <v>1.706634808866122E-4</v>
      </c>
      <c r="N17" s="863"/>
      <c r="O17" s="714">
        <v>3.1193635290617694E-2</v>
      </c>
      <c r="R17" s="597"/>
      <c r="S17" s="597"/>
      <c r="T17" s="597"/>
      <c r="U17" s="597"/>
      <c r="V17" s="597"/>
      <c r="W17" s="597"/>
    </row>
    <row r="18" spans="2:23">
      <c r="B18" s="158">
        <v>8</v>
      </c>
      <c r="C18" s="150" t="s">
        <v>605</v>
      </c>
      <c r="D18" s="561">
        <f>'F12_Including POA'!D18</f>
        <v>5.2546953107476844</v>
      </c>
      <c r="E18" s="718">
        <f t="shared" si="0"/>
        <v>2.0450902947644656E-4</v>
      </c>
      <c r="F18" s="561">
        <f t="shared" si="1"/>
        <v>5.3597556735183662</v>
      </c>
      <c r="G18" s="718">
        <f t="shared" si="2"/>
        <v>1.9792282935012873E-4</v>
      </c>
      <c r="H18" s="561">
        <f t="shared" si="3"/>
        <v>5.4669165728897013</v>
      </c>
      <c r="I18" s="718">
        <f t="shared" si="4"/>
        <v>1.9168825633999927E-4</v>
      </c>
      <c r="J18" s="561">
        <f>'F12_Including POA'!J18</f>
        <v>5.5762200061848892</v>
      </c>
      <c r="K18" s="718">
        <f t="shared" si="5"/>
        <v>1.8581012626779091E-4</v>
      </c>
      <c r="L18" s="561">
        <f>'F12_Including POA'!L18</f>
        <v>5.6877088104055016</v>
      </c>
      <c r="M18" s="718">
        <f t="shared" si="6"/>
        <v>1.8029562696578617E-4</v>
      </c>
      <c r="N18" s="863"/>
      <c r="O18" s="714">
        <v>1.9993616481586818E-2</v>
      </c>
      <c r="R18" s="597"/>
      <c r="S18" s="597"/>
      <c r="T18" s="597"/>
      <c r="U18" s="597"/>
      <c r="V18" s="597"/>
      <c r="W18" s="597"/>
    </row>
    <row r="19" spans="2:23">
      <c r="B19" s="158">
        <v>9</v>
      </c>
      <c r="C19" s="150" t="s">
        <v>607</v>
      </c>
      <c r="D19" s="561">
        <f>'F12_Including POA'!D19</f>
        <v>7.7174328814862889</v>
      </c>
      <c r="E19" s="718">
        <f t="shared" si="0"/>
        <v>3.0035703600439679E-4</v>
      </c>
      <c r="F19" s="561">
        <f t="shared" si="1"/>
        <v>9.1783141991477848</v>
      </c>
      <c r="G19" s="718">
        <f t="shared" si="2"/>
        <v>3.3893297113062249E-4</v>
      </c>
      <c r="H19" s="561">
        <f t="shared" si="3"/>
        <v>10.915734912365561</v>
      </c>
      <c r="I19" s="718">
        <f t="shared" si="4"/>
        <v>3.8274192849352358E-4</v>
      </c>
      <c r="J19" s="561">
        <f>'F12_Including POA'!J19</f>
        <v>12.982042899348542</v>
      </c>
      <c r="K19" s="718">
        <f t="shared" si="5"/>
        <v>4.3258605787905322E-4</v>
      </c>
      <c r="L19" s="561">
        <f>'F12_Including POA'!L19</f>
        <v>15.439495296794711</v>
      </c>
      <c r="M19" s="718">
        <f t="shared" si="6"/>
        <v>4.894191276948387E-4</v>
      </c>
      <c r="N19" s="863"/>
      <c r="O19" s="714">
        <v>0.18929627767363844</v>
      </c>
      <c r="R19" s="597"/>
      <c r="S19" s="597"/>
      <c r="T19" s="597"/>
      <c r="U19" s="597"/>
      <c r="V19" s="597"/>
      <c r="W19" s="597"/>
    </row>
    <row r="20" spans="2:23">
      <c r="B20" s="158">
        <v>10</v>
      </c>
      <c r="C20" s="150" t="s">
        <v>609</v>
      </c>
      <c r="D20" s="561">
        <f>'F12_Including POA'!D20</f>
        <v>13.595734156852755</v>
      </c>
      <c r="E20" s="718">
        <f t="shared" si="0"/>
        <v>5.2913636909655652E-4</v>
      </c>
      <c r="F20" s="561">
        <f t="shared" si="1"/>
        <v>14.683392889400977</v>
      </c>
      <c r="G20" s="718">
        <f t="shared" si="2"/>
        <v>5.4222222842894381E-4</v>
      </c>
      <c r="H20" s="561">
        <f t="shared" si="3"/>
        <v>15.858064320553057</v>
      </c>
      <c r="I20" s="718">
        <f t="shared" si="4"/>
        <v>5.5603641614153832E-4</v>
      </c>
      <c r="J20" s="561">
        <f>'F12_Including POA'!J20</f>
        <v>17.126709466197301</v>
      </c>
      <c r="K20" s="718">
        <f t="shared" si="5"/>
        <v>5.7069413418699589E-4</v>
      </c>
      <c r="L20" s="561">
        <f>'F12_Including POA'!L20</f>
        <v>18.496846223493087</v>
      </c>
      <c r="M20" s="718">
        <f t="shared" si="6"/>
        <v>5.863346028990293E-4</v>
      </c>
      <c r="N20" s="863"/>
      <c r="O20" s="714">
        <v>8.0000000000000071E-2</v>
      </c>
      <c r="R20" s="597"/>
      <c r="S20" s="597"/>
      <c r="T20" s="597"/>
      <c r="U20" s="597"/>
      <c r="V20" s="597"/>
      <c r="W20" s="597"/>
    </row>
    <row r="21" spans="2:23">
      <c r="B21" s="158">
        <v>11</v>
      </c>
      <c r="C21" s="150" t="s">
        <v>611</v>
      </c>
      <c r="D21" s="561">
        <f>'F12_Including POA'!D21</f>
        <v>8.1047084000753422</v>
      </c>
      <c r="E21" s="718">
        <f t="shared" si="0"/>
        <v>3.1542952560900634E-4</v>
      </c>
      <c r="F21" s="561">
        <f t="shared" si="1"/>
        <v>8.1047084000753422</v>
      </c>
      <c r="G21" s="718">
        <f t="shared" si="2"/>
        <v>2.9928730250266508E-4</v>
      </c>
      <c r="H21" s="561">
        <f t="shared" si="3"/>
        <v>8.1047084000753422</v>
      </c>
      <c r="I21" s="718">
        <f t="shared" si="4"/>
        <v>2.8417800064093495E-4</v>
      </c>
      <c r="J21" s="561">
        <f>'F12_Including POA'!J21</f>
        <v>8.1047084000753422</v>
      </c>
      <c r="K21" s="718">
        <f t="shared" si="5"/>
        <v>2.7006410964978218E-4</v>
      </c>
      <c r="L21" s="561">
        <f>'F12_Including POA'!L21</f>
        <v>8.1047084000753422</v>
      </c>
      <c r="M21" s="718">
        <f t="shared" si="6"/>
        <v>2.5691249870126158E-4</v>
      </c>
      <c r="N21" s="863"/>
      <c r="O21" s="714">
        <v>0</v>
      </c>
      <c r="R21" s="597"/>
      <c r="S21" s="597"/>
      <c r="T21" s="597"/>
      <c r="U21" s="597"/>
      <c r="V21" s="597"/>
      <c r="W21" s="597"/>
    </row>
    <row r="22" spans="2:23">
      <c r="B22" s="158">
        <v>12</v>
      </c>
      <c r="C22" s="150" t="s">
        <v>613</v>
      </c>
      <c r="D22" s="561">
        <f>'F12_Including POA'!D22</f>
        <v>5.4362904073447176</v>
      </c>
      <c r="E22" s="718">
        <f t="shared" si="0"/>
        <v>2.1157658235373345E-4</v>
      </c>
      <c r="F22" s="561">
        <f t="shared" si="1"/>
        <v>5.4362904073447176</v>
      </c>
      <c r="G22" s="718">
        <f t="shared" si="2"/>
        <v>2.0074907218379259E-4</v>
      </c>
      <c r="H22" s="561">
        <f t="shared" si="3"/>
        <v>5.4362904073447176</v>
      </c>
      <c r="I22" s="718">
        <f t="shared" si="4"/>
        <v>1.9061440123476305E-4</v>
      </c>
      <c r="J22" s="561">
        <f>'F12_Including POA'!J22</f>
        <v>5.4362904073447176</v>
      </c>
      <c r="K22" s="718">
        <f t="shared" si="5"/>
        <v>1.8114740915830543E-4</v>
      </c>
      <c r="L22" s="561">
        <f>'F12_Including POA'!L22</f>
        <v>5.4362904073447176</v>
      </c>
      <c r="M22" s="718">
        <f t="shared" si="6"/>
        <v>1.7232587321755428E-4</v>
      </c>
      <c r="N22" s="863"/>
      <c r="O22" s="714">
        <v>0</v>
      </c>
      <c r="R22" s="597"/>
      <c r="S22" s="597"/>
      <c r="T22" s="597"/>
      <c r="U22" s="597"/>
      <c r="V22" s="597"/>
      <c r="W22" s="597"/>
    </row>
    <row r="23" spans="2:23">
      <c r="B23" s="158">
        <v>13</v>
      </c>
      <c r="C23" s="150" t="s">
        <v>615</v>
      </c>
      <c r="D23" s="561">
        <f>'F12_Including POA'!D23</f>
        <v>1.5247287308021791</v>
      </c>
      <c r="E23" s="718">
        <f t="shared" si="0"/>
        <v>5.9341365105113805E-5</v>
      </c>
      <c r="F23" s="561">
        <f t="shared" si="1"/>
        <v>1.7058234270371437</v>
      </c>
      <c r="G23" s="718">
        <f t="shared" si="2"/>
        <v>6.2991938367462123E-5</v>
      </c>
      <c r="H23" s="561">
        <f t="shared" si="3"/>
        <v>1.9084270568561041</v>
      </c>
      <c r="I23" s="718">
        <f t="shared" si="4"/>
        <v>6.6915792477048277E-5</v>
      </c>
      <c r="J23" s="561">
        <f>'F12_Including POA'!J23</f>
        <v>2.135094273893535</v>
      </c>
      <c r="K23" s="718">
        <f t="shared" si="5"/>
        <v>7.1145352261167783E-5</v>
      </c>
      <c r="L23" s="561">
        <f>'F12_Including POA'!L23</f>
        <v>2.3886831524610286</v>
      </c>
      <c r="M23" s="718">
        <f t="shared" si="6"/>
        <v>7.571926428576562E-5</v>
      </c>
      <c r="N23" s="863"/>
      <c r="O23" s="714">
        <v>0.11877174777161081</v>
      </c>
      <c r="R23" s="597"/>
      <c r="S23" s="597"/>
      <c r="T23" s="597"/>
      <c r="U23" s="597"/>
      <c r="V23" s="597"/>
      <c r="W23" s="597"/>
    </row>
    <row r="24" spans="2:23">
      <c r="B24" s="158">
        <v>14</v>
      </c>
      <c r="C24" s="150" t="s">
        <v>617</v>
      </c>
      <c r="D24" s="561">
        <f>'F12_Including POA'!D24</f>
        <v>0.60498985597579935</v>
      </c>
      <c r="E24" s="718">
        <f t="shared" si="0"/>
        <v>2.3545777818105516E-5</v>
      </c>
      <c r="F24" s="561">
        <f t="shared" si="1"/>
        <v>0.61659238639386782</v>
      </c>
      <c r="G24" s="718">
        <f t="shared" si="2"/>
        <v>2.2769267314513893E-5</v>
      </c>
      <c r="H24" s="561">
        <f t="shared" si="3"/>
        <v>0.62841743081076207</v>
      </c>
      <c r="I24" s="718">
        <f t="shared" si="4"/>
        <v>2.203440274964801E-5</v>
      </c>
      <c r="J24" s="561">
        <f>'F12_Including POA'!J24</f>
        <v>0.64046925661280985</v>
      </c>
      <c r="K24" s="718">
        <f t="shared" si="5"/>
        <v>2.1341638835962121E-5</v>
      </c>
      <c r="L24" s="561">
        <f>'F12_Including POA'!L24</f>
        <v>0.65275221302652053</v>
      </c>
      <c r="M24" s="718">
        <f t="shared" si="6"/>
        <v>2.06917008981918E-5</v>
      </c>
      <c r="N24" s="863"/>
      <c r="O24" s="714">
        <v>1.9178057786364944E-2</v>
      </c>
      <c r="R24" s="597"/>
      <c r="S24" s="597"/>
      <c r="T24" s="597"/>
      <c r="U24" s="597"/>
      <c r="V24" s="597"/>
      <c r="W24" s="597"/>
    </row>
    <row r="25" spans="2:23">
      <c r="B25" s="158">
        <v>15</v>
      </c>
      <c r="C25" s="150" t="s">
        <v>619</v>
      </c>
      <c r="D25" s="561">
        <f>'F12_Including POA'!D25</f>
        <v>27.811180341327091</v>
      </c>
      <c r="E25" s="718">
        <f t="shared" si="0"/>
        <v>1.082391492531647E-3</v>
      </c>
      <c r="F25" s="561">
        <f t="shared" si="1"/>
        <v>29.017967451535803</v>
      </c>
      <c r="G25" s="718">
        <f t="shared" si="2"/>
        <v>1.0715634386796139E-3</v>
      </c>
      <c r="H25" s="561">
        <f t="shared" si="3"/>
        <v>30.277119657777558</v>
      </c>
      <c r="I25" s="718">
        <f t="shared" si="4"/>
        <v>1.0616163968877141E-3</v>
      </c>
      <c r="J25" s="561">
        <f>'F12_Including POA'!J25</f>
        <v>31.590909194532948</v>
      </c>
      <c r="K25" s="718">
        <f t="shared" si="5"/>
        <v>1.0526684420341819E-3</v>
      </c>
      <c r="L25" s="561">
        <f>'F12_Including POA'!L25</f>
        <v>32.961706893438418</v>
      </c>
      <c r="M25" s="718">
        <f t="shared" si="6"/>
        <v>1.0448586255580943E-3</v>
      </c>
      <c r="N25" s="864"/>
      <c r="O25" s="714">
        <v>4.3392157233090867E-2</v>
      </c>
      <c r="R25" s="597"/>
      <c r="S25" s="597"/>
      <c r="T25" s="597"/>
      <c r="U25" s="597"/>
      <c r="V25" s="597"/>
      <c r="W25" s="597"/>
    </row>
    <row r="26" spans="2:23">
      <c r="B26" s="158">
        <v>16</v>
      </c>
      <c r="C26" s="150" t="s">
        <v>620</v>
      </c>
      <c r="D26" s="561">
        <f>'F12_Including POA'!D26</f>
        <v>15.168212673689592</v>
      </c>
      <c r="E26" s="718">
        <f t="shared" si="0"/>
        <v>5.9033612214277171E-4</v>
      </c>
      <c r="F26" s="561">
        <f t="shared" si="1"/>
        <v>15.168212673689592</v>
      </c>
      <c r="G26" s="718">
        <f t="shared" si="2"/>
        <v>5.6012545187351763E-4</v>
      </c>
      <c r="H26" s="561">
        <f t="shared" si="3"/>
        <v>15.168212673689592</v>
      </c>
      <c r="I26" s="718">
        <f t="shared" si="4"/>
        <v>5.3184792569039598E-4</v>
      </c>
      <c r="J26" s="561">
        <f>'F12_Including POA'!J26</f>
        <v>15.168212673689592</v>
      </c>
      <c r="K26" s="718">
        <f t="shared" si="5"/>
        <v>5.054333417671685E-4</v>
      </c>
      <c r="L26" s="561">
        <f>'F12_Including POA'!L26</f>
        <v>15.168212673689592</v>
      </c>
      <c r="M26" s="718">
        <f t="shared" si="6"/>
        <v>4.8081969473368232E-4</v>
      </c>
      <c r="N26" s="593"/>
      <c r="O26" s="714">
        <v>0</v>
      </c>
    </row>
    <row r="27" spans="2:23">
      <c r="B27" s="158">
        <v>17</v>
      </c>
      <c r="C27" s="150" t="s">
        <v>621</v>
      </c>
      <c r="D27" s="561">
        <f>'F12_Including POA'!D27</f>
        <v>10.621618110528988</v>
      </c>
      <c r="E27" s="718">
        <f t="shared" si="0"/>
        <v>4.1338587354642438E-4</v>
      </c>
      <c r="F27" s="561">
        <f t="shared" si="1"/>
        <v>10.621618110528988</v>
      </c>
      <c r="G27" s="718">
        <f t="shared" si="2"/>
        <v>3.9223069795874752E-4</v>
      </c>
      <c r="H27" s="561">
        <f t="shared" si="3"/>
        <v>10.621618110528988</v>
      </c>
      <c r="I27" s="718">
        <f t="shared" si="4"/>
        <v>3.7242921635448524E-4</v>
      </c>
      <c r="J27" s="561">
        <f>'F12_Including POA'!J27</f>
        <v>10.621618110528988</v>
      </c>
      <c r="K27" s="718">
        <f t="shared" si="5"/>
        <v>3.5393226954758136E-4</v>
      </c>
      <c r="L27" s="561">
        <f>'F12_Including POA'!L27</f>
        <v>10.621618110528988</v>
      </c>
      <c r="M27" s="718">
        <f t="shared" si="6"/>
        <v>3.3669643796206266E-4</v>
      </c>
      <c r="N27" s="593"/>
      <c r="O27" s="714">
        <v>0</v>
      </c>
      <c r="R27" s="597"/>
      <c r="S27" s="597"/>
      <c r="T27" s="597"/>
      <c r="U27" s="597"/>
      <c r="V27" s="597"/>
      <c r="W27" s="597"/>
    </row>
    <row r="28" spans="2:23">
      <c r="B28" s="158">
        <v>18</v>
      </c>
      <c r="C28" s="736" t="s">
        <v>696</v>
      </c>
      <c r="D28" s="561">
        <v>20</v>
      </c>
      <c r="E28" s="718">
        <f t="shared" si="0"/>
        <v>7.7838587161525527E-4</v>
      </c>
      <c r="F28" s="561">
        <v>20</v>
      </c>
      <c r="G28" s="718">
        <f t="shared" si="2"/>
        <v>7.385516855853392E-4</v>
      </c>
      <c r="H28" s="561">
        <v>20</v>
      </c>
      <c r="I28" s="718">
        <f t="shared" si="4"/>
        <v>7.0126644072300787E-4</v>
      </c>
      <c r="J28" s="561">
        <v>20</v>
      </c>
      <c r="K28" s="718">
        <f t="shared" si="5"/>
        <v>6.664375726269724E-4</v>
      </c>
      <c r="L28" s="561">
        <v>20</v>
      </c>
      <c r="M28" s="718">
        <f t="shared" si="6"/>
        <v>6.3398332430781429E-4</v>
      </c>
      <c r="N28" s="593"/>
      <c r="O28" s="714"/>
      <c r="R28" s="597"/>
      <c r="S28" s="597"/>
      <c r="T28" s="597"/>
      <c r="U28" s="597"/>
      <c r="V28" s="597"/>
      <c r="W28" s="597"/>
    </row>
    <row r="29" spans="2:23">
      <c r="B29" s="158">
        <v>18</v>
      </c>
      <c r="C29" s="736" t="s">
        <v>697</v>
      </c>
      <c r="D29" s="561">
        <f>'F12_Including POA'!D28</f>
        <v>20</v>
      </c>
      <c r="E29" s="718">
        <f t="shared" si="0"/>
        <v>7.7838587161525527E-4</v>
      </c>
      <c r="F29" s="561">
        <f>'F12_Including POA'!F28</f>
        <v>20</v>
      </c>
      <c r="G29" s="718">
        <f t="shared" si="2"/>
        <v>7.385516855853392E-4</v>
      </c>
      <c r="H29" s="561">
        <f>'F12_Including POA'!H28</f>
        <v>20</v>
      </c>
      <c r="I29" s="718">
        <f t="shared" si="4"/>
        <v>7.0126644072300787E-4</v>
      </c>
      <c r="J29" s="561">
        <f>'F12_Including POA'!J28</f>
        <v>20</v>
      </c>
      <c r="K29" s="718">
        <f t="shared" si="5"/>
        <v>6.664375726269724E-4</v>
      </c>
      <c r="L29" s="561">
        <f>'F12_Including POA'!L28</f>
        <v>20</v>
      </c>
      <c r="M29" s="718">
        <f>L29/$L$30</f>
        <v>6.3398332430781429E-4</v>
      </c>
      <c r="N29" s="593"/>
      <c r="O29" s="714">
        <v>0</v>
      </c>
    </row>
    <row r="30" spans="2:23" s="52" customFormat="1">
      <c r="B30" s="598"/>
      <c r="C30" s="599" t="s">
        <v>698</v>
      </c>
      <c r="D30" s="484">
        <f>SUM(D11:D29)</f>
        <v>25694.197093399591</v>
      </c>
      <c r="E30" s="719">
        <f>SUM(E11:E29)</f>
        <v>0.99999999999999989</v>
      </c>
      <c r="F30" s="484">
        <f t="shared" ref="F30:K30" si="7">SUM(F11:F29)</f>
        <v>27080.027559816612</v>
      </c>
      <c r="G30" s="719">
        <f t="shared" si="7"/>
        <v>1</v>
      </c>
      <c r="H30" s="484">
        <f t="shared" si="7"/>
        <v>28519.830464694613</v>
      </c>
      <c r="I30" s="719">
        <f t="shared" si="7"/>
        <v>1.0000000000000002</v>
      </c>
      <c r="J30" s="484">
        <f t="shared" si="7"/>
        <v>30010.312775679406</v>
      </c>
      <c r="K30" s="719">
        <f t="shared" si="7"/>
        <v>1.0000000000000002</v>
      </c>
      <c r="L30" s="484">
        <f>SUM(L11:L29)</f>
        <v>31546.571073988558</v>
      </c>
      <c r="M30" s="719">
        <f>SUM(M11:M29)</f>
        <v>1</v>
      </c>
      <c r="N30" s="310"/>
      <c r="O30" s="714">
        <v>0</v>
      </c>
    </row>
    <row r="31" spans="2:23">
      <c r="D31" s="321"/>
      <c r="E31" s="44"/>
      <c r="F31" s="44"/>
      <c r="G31" s="321"/>
      <c r="H31" s="321"/>
    </row>
    <row r="32" spans="2:23">
      <c r="D32" s="321"/>
      <c r="E32" s="44"/>
      <c r="F32" s="364"/>
      <c r="G32" s="321"/>
      <c r="H32" s="321"/>
    </row>
    <row r="33" spans="2:27">
      <c r="B33" s="52" t="s">
        <v>699</v>
      </c>
      <c r="D33" s="321"/>
      <c r="E33" s="44"/>
      <c r="F33" s="44"/>
      <c r="G33" s="321"/>
      <c r="H33" s="321"/>
    </row>
    <row r="34" spans="2:27">
      <c r="B34" s="52"/>
      <c r="C34" s="52"/>
    </row>
    <row r="35" spans="2:27" s="40" customFormat="1">
      <c r="B35" s="750" t="s">
        <v>2</v>
      </c>
      <c r="C35" s="753" t="s">
        <v>53</v>
      </c>
      <c r="D35" s="753" t="s">
        <v>54</v>
      </c>
      <c r="E35" s="753"/>
      <c r="F35" s="753"/>
      <c r="G35" s="753"/>
      <c r="H35" s="753"/>
      <c r="I35" s="753" t="s">
        <v>55</v>
      </c>
    </row>
    <row r="36" spans="2:27" s="40" customFormat="1">
      <c r="B36" s="750"/>
      <c r="C36" s="753"/>
      <c r="D36" s="153" t="s">
        <v>56</v>
      </c>
      <c r="E36" s="153" t="s">
        <v>57</v>
      </c>
      <c r="F36" s="153" t="s">
        <v>58</v>
      </c>
      <c r="G36" s="153" t="s">
        <v>59</v>
      </c>
      <c r="H36" s="153" t="s">
        <v>60</v>
      </c>
      <c r="I36" s="753"/>
    </row>
    <row r="37" spans="2:27" s="40" customFormat="1">
      <c r="B37" s="750"/>
      <c r="C37" s="753"/>
      <c r="D37" s="113" t="s">
        <v>61</v>
      </c>
      <c r="E37" s="113" t="s">
        <v>61</v>
      </c>
      <c r="F37" s="113" t="s">
        <v>61</v>
      </c>
      <c r="G37" s="113" t="s">
        <v>61</v>
      </c>
      <c r="H37" s="113" t="s">
        <v>61</v>
      </c>
      <c r="I37" s="753"/>
    </row>
    <row r="38" spans="2:27" s="39" customFormat="1">
      <c r="B38" s="152">
        <v>1</v>
      </c>
      <c r="C38" s="152" t="s">
        <v>700</v>
      </c>
      <c r="D38" s="603">
        <f ca="1">'F1 '!E21</f>
        <v>874.00730207641686</v>
      </c>
      <c r="E38" s="603">
        <f ca="1">'F1 '!F21</f>
        <v>918.78278527886016</v>
      </c>
      <c r="F38" s="603">
        <f ca="1">'F1 '!G21</f>
        <v>929.52225398217411</v>
      </c>
      <c r="G38" s="603">
        <f ca="1">'F1 '!H21</f>
        <v>948.10402236097275</v>
      </c>
      <c r="H38" s="603">
        <f ca="1">'F1 '!I21</f>
        <v>947.66012896635698</v>
      </c>
      <c r="I38" s="38"/>
      <c r="K38" s="601"/>
      <c r="L38" s="601"/>
      <c r="M38" s="601"/>
      <c r="N38" s="601"/>
      <c r="O38" s="601"/>
      <c r="P38" s="601"/>
      <c r="Q38" s="601"/>
      <c r="R38" s="601"/>
      <c r="S38" s="601"/>
      <c r="T38" s="601"/>
    </row>
    <row r="39" spans="2:27" s="39" customFormat="1">
      <c r="B39" s="117"/>
      <c r="C39" s="117"/>
      <c r="D39" s="600"/>
      <c r="E39" s="600"/>
      <c r="F39" s="600"/>
      <c r="G39" s="600"/>
      <c r="H39" s="600"/>
      <c r="I39" s="38"/>
      <c r="K39" s="601"/>
      <c r="L39" s="601"/>
      <c r="M39" s="601"/>
      <c r="N39" s="601"/>
      <c r="O39" s="601"/>
      <c r="P39" s="601"/>
      <c r="Q39" s="601"/>
      <c r="R39" s="601"/>
      <c r="S39" s="601"/>
      <c r="T39" s="601"/>
    </row>
    <row r="40" spans="2:27" s="39" customFormat="1">
      <c r="B40" s="152">
        <v>2</v>
      </c>
      <c r="C40" s="602" t="s">
        <v>45</v>
      </c>
      <c r="D40" s="600"/>
      <c r="E40" s="600"/>
      <c r="F40" s="600"/>
      <c r="G40" s="600"/>
      <c r="H40" s="600"/>
      <c r="I40" s="38"/>
      <c r="K40" s="601"/>
      <c r="L40" s="601"/>
      <c r="M40" s="601"/>
      <c r="N40" s="601"/>
      <c r="O40" s="601"/>
      <c r="P40" s="601"/>
      <c r="Q40" s="601"/>
      <c r="R40" s="601"/>
      <c r="S40" s="601"/>
      <c r="T40" s="601"/>
    </row>
    <row r="41" spans="2:27" s="39" customFormat="1">
      <c r="B41" s="594" t="s">
        <v>590</v>
      </c>
      <c r="C41" s="150" t="s">
        <v>591</v>
      </c>
      <c r="D41" s="603">
        <f ca="1">$D$38*E11</f>
        <v>736.8008395785447</v>
      </c>
      <c r="E41" s="603">
        <f ca="1">$E$38*G11</f>
        <v>775.76013144511262</v>
      </c>
      <c r="F41" s="603">
        <f ca="1">$F$38*I11</f>
        <v>785.87382664526672</v>
      </c>
      <c r="G41" s="603">
        <f ca="1">$G$38*K11</f>
        <v>802.45099195030582</v>
      </c>
      <c r="H41" s="603">
        <f ca="1">$H$38*M11</f>
        <v>802.72337003421956</v>
      </c>
      <c r="I41" s="38"/>
      <c r="K41" s="601"/>
      <c r="L41" s="601"/>
      <c r="M41" s="601"/>
      <c r="N41" s="601"/>
      <c r="O41" s="601"/>
      <c r="P41" s="601"/>
      <c r="Q41" s="601"/>
      <c r="R41" s="601"/>
      <c r="S41" s="601"/>
      <c r="T41" s="601"/>
    </row>
    <row r="42" spans="2:27" s="39" customFormat="1">
      <c r="B42" s="594" t="s">
        <v>592</v>
      </c>
      <c r="C42" s="150" t="s">
        <v>593</v>
      </c>
      <c r="D42" s="603">
        <f t="shared" ref="D42:D59" ca="1" si="8">$D$38*E12</f>
        <v>30.959303944219418</v>
      </c>
      <c r="E42" s="603">
        <f t="shared" ref="E42:E58" ca="1" si="9">$E$38*G12</f>
        <v>33.00121711048736</v>
      </c>
      <c r="F42" s="603">
        <f t="shared" ref="F42:F58" ca="1" si="10">$F$38*I12</f>
        <v>33.879273896172315</v>
      </c>
      <c r="G42" s="603">
        <f t="shared" ref="G42:G58" ca="1" si="11">$G$38*K12</f>
        <v>35.096332893655259</v>
      </c>
      <c r="H42" s="603">
        <f t="shared" ref="H42:H58" ca="1" si="12">$H$38*M12</f>
        <v>35.664139776853261</v>
      </c>
      <c r="I42" s="38"/>
      <c r="K42" s="601"/>
      <c r="L42" s="601"/>
      <c r="M42" s="601"/>
      <c r="N42" s="601"/>
      <c r="O42" s="601"/>
      <c r="P42" s="601"/>
      <c r="Q42" s="601"/>
      <c r="R42" s="601"/>
      <c r="S42" s="601"/>
      <c r="T42" s="601"/>
    </row>
    <row r="43" spans="2:27" s="39" customFormat="1">
      <c r="B43" s="594" t="s">
        <v>594</v>
      </c>
      <c r="C43" s="150" t="s">
        <v>595</v>
      </c>
      <c r="D43" s="603">
        <f t="shared" ca="1" si="8"/>
        <v>56.296996185677074</v>
      </c>
      <c r="E43" s="603">
        <f t="shared" ca="1" si="9"/>
        <v>58.87656747287761</v>
      </c>
      <c r="F43" s="603">
        <f t="shared" ca="1" si="10"/>
        <v>59.301422242349204</v>
      </c>
      <c r="G43" s="603">
        <f t="shared" ca="1" si="11"/>
        <v>60.271395390139986</v>
      </c>
      <c r="H43" s="603">
        <f t="shared" ca="1" si="12"/>
        <v>60.089660306188129</v>
      </c>
      <c r="I43" s="38"/>
      <c r="K43" s="601"/>
      <c r="L43" s="601"/>
      <c r="M43" s="601"/>
      <c r="N43" s="601"/>
      <c r="O43" s="601"/>
      <c r="P43" s="601"/>
      <c r="Q43" s="601"/>
      <c r="R43" s="601"/>
      <c r="S43" s="601"/>
      <c r="T43" s="601"/>
    </row>
    <row r="44" spans="2:27" s="39" customFormat="1">
      <c r="B44" s="594" t="s">
        <v>596</v>
      </c>
      <c r="C44" s="150" t="s">
        <v>597</v>
      </c>
      <c r="D44" s="603">
        <f t="shared" ca="1" si="8"/>
        <v>27.615585254568995</v>
      </c>
      <c r="E44" s="603">
        <f t="shared" ca="1" si="9"/>
        <v>27.77282926055134</v>
      </c>
      <c r="F44" s="603">
        <f t="shared" ca="1" si="10"/>
        <v>26.899943270604219</v>
      </c>
      <c r="G44" s="603">
        <f t="shared" ca="1" si="11"/>
        <v>26.29094000970969</v>
      </c>
      <c r="H44" s="603">
        <f t="shared" ca="1" si="12"/>
        <v>25.205959257744496</v>
      </c>
      <c r="I44" s="38"/>
      <c r="K44" s="601"/>
      <c r="L44" s="601"/>
      <c r="M44" s="601"/>
      <c r="N44" s="601"/>
      <c r="O44" s="601"/>
      <c r="P44" s="601"/>
      <c r="Q44" s="601"/>
      <c r="R44" s="601"/>
      <c r="S44" s="601"/>
      <c r="T44" s="601"/>
    </row>
    <row r="45" spans="2:27">
      <c r="B45" s="594" t="s">
        <v>598</v>
      </c>
      <c r="C45" s="150" t="s">
        <v>599</v>
      </c>
      <c r="D45" s="603">
        <f t="shared" ca="1" si="8"/>
        <v>17.230456003265452</v>
      </c>
      <c r="E45" s="603">
        <f t="shared" ca="1" si="9"/>
        <v>18.131806473768663</v>
      </c>
      <c r="F45" s="603">
        <f t="shared" ca="1" si="10"/>
        <v>18.375990013677388</v>
      </c>
      <c r="G45" s="603">
        <f t="shared" ca="1" si="11"/>
        <v>18.792472677931684</v>
      </c>
      <c r="H45" s="603">
        <f t="shared" ca="1" si="12"/>
        <v>18.852088700650906</v>
      </c>
      <c r="I45" s="38"/>
      <c r="K45" s="597"/>
      <c r="L45" s="597"/>
      <c r="M45" s="597"/>
      <c r="N45" s="597"/>
      <c r="O45" s="597"/>
      <c r="P45" s="597"/>
      <c r="Q45" s="597"/>
      <c r="R45" s="597"/>
      <c r="S45" s="597"/>
      <c r="T45" s="597"/>
    </row>
    <row r="46" spans="2:27">
      <c r="B46" s="594" t="s">
        <v>600</v>
      </c>
      <c r="C46" s="150" t="s">
        <v>601</v>
      </c>
      <c r="D46" s="603">
        <f t="shared" ca="1" si="8"/>
        <v>0.32147445273730413</v>
      </c>
      <c r="E46" s="603">
        <f t="shared" ca="1" si="9"/>
        <v>0.32730986222753378</v>
      </c>
      <c r="F46" s="603">
        <f t="shared" ca="1" si="10"/>
        <v>0.32094978137194613</v>
      </c>
      <c r="G46" s="603">
        <f t="shared" ca="1" si="11"/>
        <v>0.31756935522887203</v>
      </c>
      <c r="H46" s="603">
        <f t="shared" ca="1" si="12"/>
        <v>0.30823535828798398</v>
      </c>
      <c r="I46" s="38"/>
      <c r="K46" s="597"/>
      <c r="L46" s="597"/>
      <c r="M46" s="597"/>
      <c r="N46" s="597"/>
      <c r="O46" s="597"/>
      <c r="P46" s="597"/>
      <c r="Q46" s="597"/>
      <c r="R46" s="597"/>
      <c r="S46" s="597"/>
      <c r="T46" s="597"/>
    </row>
    <row r="47" spans="2:27">
      <c r="B47" s="594" t="s">
        <v>602</v>
      </c>
      <c r="C47" s="150" t="s">
        <v>603</v>
      </c>
      <c r="D47" s="603">
        <f t="shared" ca="1" si="8"/>
        <v>0.16196153154203666</v>
      </c>
      <c r="E47" s="603">
        <f t="shared" ca="1" si="9"/>
        <v>0.16658497817716209</v>
      </c>
      <c r="F47" s="603">
        <f t="shared" ca="1" si="10"/>
        <v>0.1650156615746593</v>
      </c>
      <c r="G47" s="603">
        <f t="shared" ca="1" si="11"/>
        <v>0.16494456265441304</v>
      </c>
      <c r="H47" s="603">
        <f t="shared" ca="1" si="12"/>
        <v>0.16173097630685432</v>
      </c>
      <c r="I47" s="38"/>
      <c r="K47" s="597"/>
      <c r="L47" s="597"/>
      <c r="M47" s="597"/>
      <c r="N47" s="597"/>
      <c r="O47" s="597"/>
      <c r="P47" s="597"/>
      <c r="Q47" s="594"/>
      <c r="R47" s="597"/>
      <c r="S47" s="597"/>
      <c r="T47" s="597"/>
      <c r="U47" s="597"/>
      <c r="V47" s="597"/>
      <c r="W47" s="597"/>
      <c r="X47" s="597"/>
      <c r="Y47" s="597"/>
      <c r="Z47" s="597"/>
      <c r="AA47" s="597"/>
    </row>
    <row r="48" spans="2:27">
      <c r="B48" s="594" t="s">
        <v>604</v>
      </c>
      <c r="C48" s="150" t="s">
        <v>605</v>
      </c>
      <c r="D48" s="603">
        <f t="shared" ca="1" si="8"/>
        <v>0.17874238510297547</v>
      </c>
      <c r="E48" s="603">
        <f t="shared" ca="1" si="9"/>
        <v>0.18184808842058381</v>
      </c>
      <c r="F48" s="603">
        <f t="shared" ca="1" si="10"/>
        <v>0.17817850009506891</v>
      </c>
      <c r="G48" s="603">
        <f t="shared" ca="1" si="11"/>
        <v>0.1761673281098928</v>
      </c>
      <c r="H48" s="603">
        <f t="shared" ca="1" si="12"/>
        <v>0.17085897710246711</v>
      </c>
      <c r="I48" s="38"/>
      <c r="K48" s="597"/>
      <c r="L48" s="597"/>
      <c r="M48" s="597"/>
      <c r="N48" s="597"/>
      <c r="O48" s="597"/>
      <c r="P48" s="597"/>
      <c r="Q48" s="594"/>
      <c r="R48" s="597"/>
      <c r="S48" s="597"/>
      <c r="T48" s="597"/>
      <c r="U48" s="597"/>
      <c r="V48" s="597"/>
      <c r="W48" s="597"/>
      <c r="X48" s="597"/>
      <c r="Y48" s="597"/>
      <c r="Z48" s="597"/>
      <c r="AA48" s="597"/>
    </row>
    <row r="49" spans="2:27">
      <c r="B49" s="594" t="s">
        <v>606</v>
      </c>
      <c r="C49" s="150" t="s">
        <v>607</v>
      </c>
      <c r="D49" s="603">
        <f t="shared" ca="1" si="8"/>
        <v>0.26251424269787205</v>
      </c>
      <c r="E49" s="603">
        <f t="shared" ca="1" si="9"/>
        <v>0.31140577923823282</v>
      </c>
      <c r="F49" s="603">
        <f t="shared" ca="1" si="10"/>
        <v>0.35576714006678412</v>
      </c>
      <c r="G49" s="603">
        <f t="shared" ca="1" si="11"/>
        <v>0.41013658149240695</v>
      </c>
      <c r="H49" s="603">
        <f t="shared" ca="1" si="12"/>
        <v>0.46380299366989275</v>
      </c>
      <c r="I49" s="38"/>
      <c r="K49" s="597"/>
      <c r="L49" s="597"/>
      <c r="M49" s="597"/>
      <c r="N49" s="597"/>
      <c r="O49" s="597"/>
      <c r="P49" s="597"/>
      <c r="Q49" s="594"/>
      <c r="R49" s="597"/>
      <c r="S49" s="597"/>
      <c r="T49" s="597"/>
      <c r="U49" s="597"/>
      <c r="V49" s="597"/>
      <c r="W49" s="597"/>
      <c r="X49" s="597"/>
      <c r="Y49" s="597"/>
      <c r="Z49" s="597"/>
      <c r="AA49" s="597"/>
    </row>
    <row r="50" spans="2:27">
      <c r="B50" s="594" t="s">
        <v>608</v>
      </c>
      <c r="C50" s="150" t="s">
        <v>609</v>
      </c>
      <c r="D50" s="603">
        <f t="shared" ca="1" si="8"/>
        <v>0.46246905038459246</v>
      </c>
      <c r="E50" s="603">
        <f t="shared" ca="1" si="9"/>
        <v>0.49818444927605532</v>
      </c>
      <c r="F50" s="603">
        <f t="shared" ca="1" si="10"/>
        <v>0.51684822282805287</v>
      </c>
      <c r="G50" s="603">
        <f t="shared" ca="1" si="11"/>
        <v>0.54107740416050354</v>
      </c>
      <c r="H50" s="603">
        <f t="shared" ca="1" si="12"/>
        <v>0.55564592540073177</v>
      </c>
      <c r="I50" s="38"/>
      <c r="K50" s="597"/>
      <c r="L50" s="597"/>
      <c r="M50" s="597"/>
      <c r="N50" s="597"/>
      <c r="O50" s="597"/>
      <c r="P50" s="597"/>
      <c r="Q50" s="594"/>
      <c r="R50" s="597"/>
      <c r="S50" s="597"/>
      <c r="T50" s="597"/>
      <c r="U50" s="597"/>
      <c r="V50" s="597"/>
      <c r="W50" s="597"/>
      <c r="X50" s="597"/>
      <c r="Y50" s="597"/>
      <c r="Z50" s="597"/>
      <c r="AA50" s="597"/>
    </row>
    <row r="51" spans="2:27">
      <c r="B51" s="594" t="s">
        <v>610</v>
      </c>
      <c r="C51" s="150" t="s">
        <v>611</v>
      </c>
      <c r="D51" s="603">
        <f t="shared" ca="1" si="8"/>
        <v>0.2756877086727717</v>
      </c>
      <c r="E51" s="603">
        <f t="shared" ca="1" si="9"/>
        <v>0.2749800213919954</v>
      </c>
      <c r="F51" s="603">
        <f t="shared" ca="1" si="10"/>
        <v>0.26414977568790959</v>
      </c>
      <c r="G51" s="603">
        <f t="shared" ca="1" si="11"/>
        <v>0.25604886865429327</v>
      </c>
      <c r="H51" s="603">
        <f t="shared" ca="1" si="12"/>
        <v>0.24346573165230656</v>
      </c>
      <c r="I51" s="38"/>
      <c r="K51" s="597"/>
      <c r="L51" s="597"/>
      <c r="M51" s="597"/>
      <c r="N51" s="597"/>
      <c r="O51" s="597"/>
      <c r="P51" s="597"/>
      <c r="Q51" s="594"/>
      <c r="R51" s="597"/>
      <c r="S51" s="597"/>
      <c r="T51" s="597"/>
      <c r="U51" s="597"/>
      <c r="V51" s="597"/>
      <c r="W51" s="597"/>
      <c r="X51" s="597"/>
      <c r="Y51" s="597"/>
      <c r="Z51" s="597"/>
      <c r="AA51" s="597"/>
    </row>
    <row r="52" spans="2:27">
      <c r="B52" s="594" t="s">
        <v>612</v>
      </c>
      <c r="C52" s="150" t="s">
        <v>613</v>
      </c>
      <c r="D52" s="603">
        <f t="shared" ca="1" si="8"/>
        <v>0.1849194779255354</v>
      </c>
      <c r="E52" s="603">
        <f t="shared" ca="1" si="9"/>
        <v>0.1844447916831719</v>
      </c>
      <c r="F52" s="603">
        <f t="shared" ca="1" si="10"/>
        <v>0.17718032787719948</v>
      </c>
      <c r="G52" s="603">
        <f t="shared" ca="1" si="11"/>
        <v>0.17174658726325828</v>
      </c>
      <c r="H52" s="603">
        <f t="shared" ca="1" si="12"/>
        <v>0.16330635923758757</v>
      </c>
      <c r="I52" s="38"/>
      <c r="K52" s="597"/>
      <c r="L52" s="597"/>
      <c r="M52" s="597"/>
      <c r="N52" s="597"/>
      <c r="O52" s="597"/>
      <c r="P52" s="597"/>
      <c r="Q52" s="594"/>
      <c r="R52" s="597"/>
      <c r="S52" s="597"/>
      <c r="T52" s="597"/>
      <c r="U52" s="597"/>
      <c r="V52" s="597"/>
      <c r="W52" s="597"/>
      <c r="X52" s="597"/>
      <c r="Y52" s="597"/>
      <c r="Z52" s="597"/>
      <c r="AA52" s="597"/>
    </row>
    <row r="53" spans="2:27">
      <c r="B53" s="594" t="s">
        <v>614</v>
      </c>
      <c r="C53" s="150" t="s">
        <v>615</v>
      </c>
      <c r="D53" s="603">
        <f t="shared" ca="1" si="8"/>
        <v>5.1864786417052146E-2</v>
      </c>
      <c r="E53" s="603">
        <f t="shared" ca="1" si="9"/>
        <v>5.7875908583371147E-2</v>
      </c>
      <c r="F53" s="603">
        <f t="shared" ca="1" si="10"/>
        <v>6.2199718250269327E-2</v>
      </c>
      <c r="G53" s="603">
        <f t="shared" ca="1" si="11"/>
        <v>6.74531946511015E-2</v>
      </c>
      <c r="H53" s="603">
        <f t="shared" ca="1" si="12"/>
        <v>7.1756127758286312E-2</v>
      </c>
      <c r="I53" s="38"/>
      <c r="K53" s="597"/>
      <c r="L53" s="597"/>
      <c r="M53" s="597"/>
      <c r="N53" s="597"/>
      <c r="O53" s="597"/>
      <c r="P53" s="597"/>
      <c r="Q53" s="594"/>
      <c r="R53" s="597"/>
      <c r="S53" s="597"/>
      <c r="T53" s="597"/>
      <c r="U53" s="597"/>
      <c r="V53" s="597"/>
      <c r="W53" s="597"/>
      <c r="X53" s="597"/>
      <c r="Y53" s="597"/>
      <c r="Z53" s="597"/>
      <c r="AA53" s="597"/>
    </row>
    <row r="54" spans="2:27">
      <c r="B54" s="594" t="s">
        <v>616</v>
      </c>
      <c r="C54" s="150" t="s">
        <v>617</v>
      </c>
      <c r="D54" s="603">
        <f t="shared" ca="1" si="8"/>
        <v>2.0579181746093144E-2</v>
      </c>
      <c r="E54" s="603">
        <f t="shared" ca="1" si="9"/>
        <v>2.0920010841987986E-2</v>
      </c>
      <c r="F54" s="603">
        <f t="shared" ca="1" si="10"/>
        <v>2.0481467709003835E-2</v>
      </c>
      <c r="G54" s="603">
        <f t="shared" ca="1" si="11"/>
        <v>2.0234093624150837E-2</v>
      </c>
      <c r="H54" s="603">
        <f t="shared" ca="1" si="12"/>
        <v>1.9608699941713725E-2</v>
      </c>
      <c r="I54" s="38"/>
      <c r="Q54" s="594"/>
      <c r="R54" s="597"/>
      <c r="S54" s="597"/>
      <c r="T54" s="597"/>
      <c r="U54" s="597"/>
      <c r="V54" s="597"/>
      <c r="W54" s="597"/>
      <c r="X54" s="597"/>
      <c r="Y54" s="597"/>
      <c r="Z54" s="597"/>
      <c r="AA54" s="597"/>
    </row>
    <row r="55" spans="2:27">
      <c r="B55" s="595" t="s">
        <v>618</v>
      </c>
      <c r="C55" s="150" t="s">
        <v>619</v>
      </c>
      <c r="D55" s="603">
        <f t="shared" ca="1" si="8"/>
        <v>0.9460180681780509</v>
      </c>
      <c r="E55" s="603">
        <f t="shared" ca="1" si="9"/>
        <v>0.98453404079304874</v>
      </c>
      <c r="F55" s="603">
        <f t="shared" ca="1" si="10"/>
        <v>0.98679606609950232</v>
      </c>
      <c r="G55" s="603">
        <f t="shared" ca="1" si="11"/>
        <v>0.99803918410506631</v>
      </c>
      <c r="H55" s="603">
        <f t="shared" ca="1" si="12"/>
        <v>0.99017085984799413</v>
      </c>
      <c r="I55" s="38"/>
      <c r="K55" s="597"/>
      <c r="L55" s="597"/>
      <c r="M55" s="597"/>
      <c r="N55" s="597"/>
      <c r="O55" s="597"/>
      <c r="Q55" s="594"/>
      <c r="R55" s="597"/>
      <c r="S55" s="597"/>
      <c r="T55" s="597"/>
      <c r="U55" s="597"/>
      <c r="V55" s="597"/>
      <c r="W55" s="597"/>
      <c r="X55" s="597"/>
      <c r="Y55" s="597"/>
      <c r="Z55" s="597"/>
      <c r="AA55" s="597"/>
    </row>
    <row r="56" spans="2:27">
      <c r="B56" s="596" t="s">
        <v>666</v>
      </c>
      <c r="C56" s="150" t="s">
        <v>620</v>
      </c>
      <c r="D56" s="603">
        <f t="shared" ca="1" si="8"/>
        <v>0.51595808143225796</v>
      </c>
      <c r="E56" s="603">
        <f t="shared" ca="1" si="9"/>
        <v>0.51463362277793068</v>
      </c>
      <c r="F56" s="603">
        <f t="shared" ca="1" si="10"/>
        <v>0.49436448266348071</v>
      </c>
      <c r="G56" s="603">
        <f t="shared" ca="1" si="11"/>
        <v>0.4792033843648007</v>
      </c>
      <c r="H56" s="603">
        <f t="shared" ca="1" si="12"/>
        <v>0.4556536539208858</v>
      </c>
      <c r="I56" s="38"/>
      <c r="K56" s="597"/>
      <c r="L56" s="597"/>
      <c r="M56" s="597"/>
      <c r="N56" s="597"/>
      <c r="O56" s="597"/>
      <c r="Q56" s="594"/>
      <c r="R56" s="597"/>
      <c r="S56" s="597"/>
      <c r="T56" s="597"/>
      <c r="U56" s="597"/>
      <c r="V56" s="597"/>
      <c r="W56" s="597"/>
      <c r="X56" s="597"/>
      <c r="Y56" s="597"/>
      <c r="Z56" s="597"/>
      <c r="AA56" s="597"/>
    </row>
    <row r="57" spans="2:27">
      <c r="B57" s="596" t="s">
        <v>667</v>
      </c>
      <c r="C57" s="150" t="s">
        <v>621</v>
      </c>
      <c r="D57" s="603">
        <f t="shared" ca="1" si="8"/>
        <v>0.36130227205481319</v>
      </c>
      <c r="E57" s="603">
        <f t="shared" ca="1" si="9"/>
        <v>0.36037481314240938</v>
      </c>
      <c r="F57" s="603">
        <f t="shared" ca="1" si="10"/>
        <v>0.3461812446346359</v>
      </c>
      <c r="G57" s="603">
        <f t="shared" ca="1" si="11"/>
        <v>0.33556460840140989</v>
      </c>
      <c r="H57" s="603">
        <f t="shared" ca="1" si="12"/>
        <v>0.31907378982164131</v>
      </c>
      <c r="I57" s="38"/>
      <c r="K57" s="597"/>
      <c r="L57" s="597"/>
      <c r="M57" s="597"/>
      <c r="N57" s="597"/>
      <c r="O57" s="597"/>
      <c r="Q57" s="594"/>
      <c r="R57" s="597"/>
      <c r="S57" s="597"/>
      <c r="T57" s="597"/>
      <c r="U57" s="597"/>
      <c r="V57" s="597"/>
      <c r="W57" s="597"/>
      <c r="X57" s="597"/>
      <c r="Y57" s="597"/>
      <c r="Z57" s="597"/>
      <c r="AA57" s="597"/>
    </row>
    <row r="58" spans="2:27">
      <c r="B58" s="596" t="s">
        <v>667</v>
      </c>
      <c r="C58" s="736" t="s">
        <v>696</v>
      </c>
      <c r="D58" s="603">
        <f t="shared" ca="1" si="8"/>
        <v>0.68031493562484946</v>
      </c>
      <c r="E58" s="603">
        <f t="shared" ca="1" si="9"/>
        <v>0.67856857475449495</v>
      </c>
      <c r="F58" s="603">
        <f t="shared" ca="1" si="10"/>
        <v>0.65184276262290697</v>
      </c>
      <c r="G58" s="603">
        <f t="shared" ca="1" si="11"/>
        <v>0.63185214326011541</v>
      </c>
      <c r="H58" s="603">
        <f t="shared" ca="1" si="12"/>
        <v>0.60080071887606301</v>
      </c>
      <c r="I58" s="38"/>
      <c r="K58" s="597"/>
      <c r="L58" s="597"/>
      <c r="M58" s="597"/>
      <c r="N58" s="597"/>
      <c r="O58" s="597"/>
      <c r="Q58" s="594"/>
      <c r="R58" s="597"/>
      <c r="S58" s="597"/>
      <c r="T58" s="597"/>
      <c r="U58" s="597"/>
      <c r="V58" s="597"/>
      <c r="W58" s="597"/>
      <c r="X58" s="597"/>
      <c r="Y58" s="597"/>
      <c r="Z58" s="597"/>
      <c r="AA58" s="597"/>
    </row>
    <row r="59" spans="2:27">
      <c r="B59" s="596" t="s">
        <v>667</v>
      </c>
      <c r="C59" s="736" t="s">
        <v>697</v>
      </c>
      <c r="D59" s="603">
        <f t="shared" ca="1" si="8"/>
        <v>0.68031493562484946</v>
      </c>
      <c r="E59" s="603">
        <f ca="1">$E$38*G29</f>
        <v>0.67856857475449495</v>
      </c>
      <c r="F59" s="603">
        <f ca="1">$F$38*I29</f>
        <v>0.65184276262290697</v>
      </c>
      <c r="G59" s="603">
        <f ca="1">$G$38*K29</f>
        <v>0.63185214326011541</v>
      </c>
      <c r="H59" s="603">
        <f ca="1">$H$38*M29</f>
        <v>0.60080071887606301</v>
      </c>
      <c r="I59" s="38"/>
      <c r="K59" s="597"/>
      <c r="L59" s="597"/>
      <c r="M59" s="597"/>
      <c r="N59" s="597"/>
      <c r="O59" s="597"/>
      <c r="Q59" s="594"/>
      <c r="R59" s="597"/>
      <c r="S59" s="597"/>
      <c r="T59" s="597"/>
      <c r="U59" s="597"/>
      <c r="V59" s="597"/>
      <c r="W59" s="597"/>
      <c r="X59" s="597"/>
      <c r="Y59" s="597"/>
      <c r="Z59" s="597"/>
      <c r="AA59" s="597"/>
    </row>
    <row r="60" spans="2:27" s="52" customFormat="1">
      <c r="B60" s="152"/>
      <c r="C60" s="602" t="s">
        <v>219</v>
      </c>
      <c r="D60" s="604">
        <f ca="1">SUM(D41:D59)</f>
        <v>874.00730207641664</v>
      </c>
      <c r="E60" s="604">
        <f t="shared" ref="E60:H60" ca="1" si="13">SUM(E41:E59)</f>
        <v>918.78278527886016</v>
      </c>
      <c r="F60" s="604">
        <f t="shared" ca="1" si="13"/>
        <v>929.52225398217411</v>
      </c>
      <c r="G60" s="604">
        <f t="shared" ca="1" si="13"/>
        <v>948.10402236097286</v>
      </c>
      <c r="H60" s="604">
        <f t="shared" ca="1" si="13"/>
        <v>947.66012896635698</v>
      </c>
      <c r="I60" s="605"/>
      <c r="K60" s="606"/>
      <c r="L60" s="606"/>
      <c r="M60" s="606"/>
      <c r="N60" s="606"/>
      <c r="O60" s="606"/>
      <c r="Q60" s="594"/>
      <c r="R60" s="597"/>
      <c r="S60" s="597"/>
      <c r="T60" s="597"/>
      <c r="U60" s="597"/>
      <c r="V60" s="597"/>
      <c r="W60" s="597"/>
      <c r="X60" s="597"/>
      <c r="Y60" s="597"/>
      <c r="Z60" s="597"/>
      <c r="AA60" s="597"/>
    </row>
    <row r="61" spans="2:27">
      <c r="C61" s="52"/>
      <c r="K61" s="597"/>
      <c r="L61" s="597"/>
      <c r="M61" s="597"/>
      <c r="N61" s="597"/>
      <c r="O61" s="597"/>
      <c r="Q61" s="595"/>
      <c r="R61" s="597"/>
      <c r="S61" s="597"/>
      <c r="T61" s="597"/>
      <c r="U61" s="597"/>
      <c r="V61" s="597"/>
      <c r="W61" s="597"/>
      <c r="X61" s="597"/>
      <c r="Y61" s="597"/>
      <c r="Z61" s="597"/>
      <c r="AA61" s="597"/>
    </row>
    <row r="62" spans="2:27">
      <c r="K62" s="597"/>
      <c r="L62" s="597"/>
      <c r="M62" s="597"/>
      <c r="N62" s="597"/>
      <c r="O62" s="597"/>
      <c r="Q62" s="596"/>
      <c r="R62" s="597"/>
      <c r="S62" s="597"/>
      <c r="T62" s="597"/>
      <c r="U62" s="597"/>
      <c r="V62" s="597"/>
      <c r="W62" s="597"/>
      <c r="X62" s="597"/>
      <c r="Y62" s="597"/>
      <c r="Z62" s="597"/>
      <c r="AA62" s="597"/>
    </row>
    <row r="63" spans="2:27">
      <c r="K63" s="597"/>
      <c r="L63" s="597"/>
      <c r="M63" s="597"/>
      <c r="N63" s="597"/>
      <c r="O63" s="597"/>
      <c r="Q63" s="596"/>
      <c r="R63" s="597"/>
      <c r="S63" s="597"/>
      <c r="T63" s="597"/>
      <c r="U63" s="597"/>
      <c r="V63" s="597"/>
      <c r="W63" s="597"/>
      <c r="X63" s="597"/>
      <c r="Y63" s="597"/>
      <c r="Z63" s="597"/>
      <c r="AA63" s="597"/>
    </row>
    <row r="64" spans="2:27">
      <c r="K64" s="597"/>
      <c r="L64" s="597"/>
      <c r="M64" s="597"/>
      <c r="N64" s="597"/>
      <c r="O64" s="597"/>
      <c r="Q64" s="596"/>
      <c r="R64" s="597"/>
      <c r="S64" s="597"/>
      <c r="T64" s="597"/>
      <c r="U64" s="597"/>
      <c r="V64" s="597"/>
      <c r="W64" s="597"/>
      <c r="X64" s="597"/>
      <c r="Y64" s="597"/>
      <c r="Z64" s="597"/>
      <c r="AA64" s="597"/>
    </row>
    <row r="65" spans="11:27">
      <c r="K65" s="597"/>
      <c r="L65" s="597"/>
      <c r="M65" s="597"/>
      <c r="N65" s="597"/>
      <c r="O65" s="597"/>
      <c r="Q65" s="596"/>
      <c r="R65" s="597"/>
      <c r="S65" s="597"/>
      <c r="T65" s="597"/>
      <c r="U65" s="597"/>
      <c r="V65" s="597"/>
      <c r="W65" s="597"/>
      <c r="X65" s="597"/>
      <c r="Y65" s="597"/>
      <c r="Z65" s="597"/>
      <c r="AA65" s="597"/>
    </row>
    <row r="66" spans="11:27">
      <c r="K66" s="597"/>
      <c r="L66" s="597"/>
      <c r="M66" s="597"/>
      <c r="N66" s="597"/>
      <c r="O66" s="597"/>
      <c r="R66" s="597"/>
      <c r="S66" s="597"/>
      <c r="T66" s="597"/>
      <c r="U66" s="597"/>
      <c r="V66" s="597"/>
      <c r="W66" s="597"/>
      <c r="X66" s="597"/>
      <c r="Y66" s="597"/>
      <c r="Z66" s="597"/>
      <c r="AA66" s="597"/>
    </row>
    <row r="67" spans="11:27">
      <c r="K67" s="597"/>
      <c r="L67" s="597"/>
      <c r="M67" s="597"/>
      <c r="N67" s="597"/>
      <c r="O67" s="597"/>
    </row>
    <row r="68" spans="11:27">
      <c r="K68" s="597"/>
      <c r="L68" s="597"/>
      <c r="M68" s="597"/>
      <c r="N68" s="597"/>
      <c r="O68" s="597"/>
    </row>
    <row r="69" spans="11:27">
      <c r="K69" s="597"/>
      <c r="L69" s="597"/>
      <c r="M69" s="597"/>
      <c r="N69" s="597"/>
      <c r="O69" s="597"/>
    </row>
    <row r="70" spans="11:27">
      <c r="K70" s="597"/>
      <c r="L70" s="597"/>
      <c r="M70" s="597"/>
      <c r="N70" s="597"/>
      <c r="O70" s="597"/>
    </row>
    <row r="71" spans="11:27">
      <c r="K71" s="597"/>
      <c r="L71" s="597"/>
      <c r="M71" s="597"/>
      <c r="N71" s="597"/>
      <c r="O71" s="597"/>
    </row>
    <row r="72" spans="11:27">
      <c r="K72" s="597"/>
      <c r="L72" s="597"/>
      <c r="M72" s="597"/>
      <c r="N72" s="597"/>
      <c r="O72" s="597"/>
    </row>
    <row r="73" spans="11:27">
      <c r="K73" s="597"/>
      <c r="L73" s="597"/>
      <c r="M73" s="597"/>
      <c r="N73" s="597"/>
      <c r="O73" s="597"/>
    </row>
    <row r="74" spans="11:27">
      <c r="K74" s="597"/>
      <c r="L74" s="597"/>
      <c r="M74" s="597"/>
      <c r="N74" s="597"/>
      <c r="O74" s="597"/>
    </row>
    <row r="75" spans="11:27">
      <c r="K75" s="597"/>
      <c r="L75" s="597"/>
      <c r="M75" s="597"/>
      <c r="N75" s="597"/>
      <c r="O75" s="597"/>
    </row>
    <row r="76" spans="11:27">
      <c r="K76" s="597"/>
      <c r="L76" s="597"/>
      <c r="M76" s="597"/>
      <c r="N76" s="597"/>
      <c r="O76" s="597"/>
    </row>
    <row r="77" spans="11:27">
      <c r="K77" s="597"/>
      <c r="L77" s="597"/>
      <c r="M77" s="597"/>
      <c r="N77" s="597"/>
      <c r="O77" s="597"/>
    </row>
  </sheetData>
  <mergeCells count="15">
    <mergeCell ref="O8:O10"/>
    <mergeCell ref="I35:I37"/>
    <mergeCell ref="B35:B37"/>
    <mergeCell ref="C35:C37"/>
    <mergeCell ref="D35:H35"/>
    <mergeCell ref="B8:B10"/>
    <mergeCell ref="C8:C10"/>
    <mergeCell ref="D8:M8"/>
    <mergeCell ref="N11:N25"/>
    <mergeCell ref="N8:N10"/>
    <mergeCell ref="D9:E9"/>
    <mergeCell ref="F9:G9"/>
    <mergeCell ref="H9:I9"/>
    <mergeCell ref="J9:K9"/>
    <mergeCell ref="L9:M9"/>
  </mergeCells>
  <pageMargins left="1.0236220472440944" right="0.23622047244094491" top="0.98425196850393704" bottom="0.98425196850393704" header="0.23622047244094491" footer="0.23622047244094491"/>
  <pageSetup paperSize="9" scale="45" orientation="landscape" r:id="rId1"/>
  <headerFooter alignWithMargins="0">
    <oddHeader>&amp;F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G21"/>
  <sheetViews>
    <sheetView view="pageBreakPreview" zoomScale="60" zoomScaleNormal="60" workbookViewId="0"/>
  </sheetViews>
  <sheetFormatPr defaultRowHeight="13.15"/>
  <cols>
    <col min="2" max="2" width="10.5703125" bestFit="1" customWidth="1"/>
    <col min="3" max="4" width="9.7109375" bestFit="1" customWidth="1"/>
    <col min="5" max="5" width="23.7109375" customWidth="1"/>
    <col min="8" max="8" width="10.5703125" bestFit="1" customWidth="1"/>
    <col min="9" max="10" width="9" bestFit="1" customWidth="1"/>
    <col min="11" max="11" width="14.140625" customWidth="1"/>
  </cols>
  <sheetData>
    <row r="1" spans="2:7" ht="13.9">
      <c r="E1" s="52" t="s">
        <v>704</v>
      </c>
    </row>
    <row r="2" spans="2:7" ht="13.9">
      <c r="E2" s="55" t="s">
        <v>1</v>
      </c>
    </row>
    <row r="3" spans="2:7" ht="13.9">
      <c r="E3" s="230" t="s">
        <v>705</v>
      </c>
    </row>
    <row r="6" spans="2:7" ht="13.9">
      <c r="B6" s="326"/>
      <c r="C6" s="325"/>
      <c r="D6" s="325"/>
      <c r="E6" s="55" t="s">
        <v>706</v>
      </c>
    </row>
    <row r="7" spans="2:7" ht="27.6">
      <c r="B7" s="327" t="s">
        <v>707</v>
      </c>
      <c r="C7" s="327" t="s">
        <v>708</v>
      </c>
      <c r="D7" s="327" t="s">
        <v>709</v>
      </c>
      <c r="E7" s="328" t="s">
        <v>710</v>
      </c>
    </row>
    <row r="8" spans="2:7" ht="15.6">
      <c r="B8" s="211" t="s">
        <v>56</v>
      </c>
      <c r="C8" s="329">
        <v>237032.67549319251</v>
      </c>
      <c r="D8" s="329">
        <v>229276.02856391811</v>
      </c>
      <c r="E8" s="334">
        <f>(C8-D8)/C8</f>
        <v>3.2723956362282924E-2</v>
      </c>
    </row>
    <row r="9" spans="2:7" ht="15.6">
      <c r="B9" s="211" t="s">
        <v>57</v>
      </c>
      <c r="C9" s="329">
        <v>259136.00968638997</v>
      </c>
      <c r="D9" s="329">
        <v>250656.05421351641</v>
      </c>
      <c r="E9" s="334">
        <f>(C9-D9)/C9</f>
        <v>3.2723956362282931E-2</v>
      </c>
      <c r="G9" s="325"/>
    </row>
    <row r="10" spans="2:7" ht="15.6">
      <c r="B10" s="211" t="s">
        <v>58</v>
      </c>
      <c r="C10" s="329">
        <v>283300.48326233128</v>
      </c>
      <c r="D10" s="329">
        <v>274029.77061064111</v>
      </c>
      <c r="E10" s="334">
        <f>(C10-D10)/C10</f>
        <v>3.2723956362282869E-2</v>
      </c>
      <c r="G10" s="325"/>
    </row>
    <row r="11" spans="2:7" ht="15.6">
      <c r="B11" s="211" t="s">
        <v>59</v>
      </c>
      <c r="C11" s="329">
        <v>309718.29779196344</v>
      </c>
      <c r="D11" s="329">
        <v>299583.08973041869</v>
      </c>
      <c r="E11" s="334">
        <f>(C11-D11)/C11</f>
        <v>3.272395636228289E-2</v>
      </c>
      <c r="G11" s="325"/>
    </row>
    <row r="12" spans="2:7" ht="15.6">
      <c r="B12" s="211" t="s">
        <v>60</v>
      </c>
      <c r="C12" s="329">
        <v>338599.5776728912</v>
      </c>
      <c r="D12" s="329">
        <v>327519.25986883609</v>
      </c>
      <c r="E12" s="334">
        <f>(C12-D12)/C12</f>
        <v>3.272395636228291E-2</v>
      </c>
      <c r="G12" s="325"/>
    </row>
    <row r="13" spans="2:7" ht="13.9">
      <c r="C13" s="325"/>
    </row>
    <row r="14" spans="2:7" ht="13.9">
      <c r="C14" s="325"/>
    </row>
    <row r="15" spans="2:7" ht="13.9">
      <c r="C15" s="325"/>
    </row>
    <row r="16" spans="2:7" ht="13.9">
      <c r="C16" s="325"/>
    </row>
    <row r="17" spans="2:7" ht="13.9">
      <c r="C17" s="325"/>
    </row>
    <row r="18" spans="2:7" ht="13.9">
      <c r="B18" s="326"/>
      <c r="C18" s="325"/>
      <c r="D18" s="325"/>
      <c r="E18" s="330"/>
      <c r="G18" s="325"/>
    </row>
    <row r="19" spans="2:7" ht="13.9">
      <c r="G19" s="325"/>
    </row>
    <row r="20" spans="2:7" ht="13.9">
      <c r="G20" s="325"/>
    </row>
    <row r="21" spans="2:7" ht="13.9">
      <c r="G21" s="325"/>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AJ329"/>
  <sheetViews>
    <sheetView view="pageBreakPreview" topLeftCell="A251" zoomScale="28" zoomScaleNormal="16" workbookViewId="0">
      <selection activeCell="H321" sqref="H321"/>
    </sheetView>
  </sheetViews>
  <sheetFormatPr defaultColWidth="9.140625" defaultRowHeight="13.15"/>
  <cols>
    <col min="1" max="1" width="14.5703125" style="184" customWidth="1"/>
    <col min="2" max="2" width="32.5703125" style="202" bestFit="1" customWidth="1"/>
    <col min="3" max="3" width="21.5703125" style="184" customWidth="1"/>
    <col min="4" max="4" width="19.85546875" style="184" customWidth="1"/>
    <col min="5" max="10" width="19" style="184" customWidth="1"/>
    <col min="11" max="19" width="22.42578125" style="184" customWidth="1"/>
    <col min="20" max="20" width="23.42578125" style="184" customWidth="1"/>
    <col min="21" max="33" width="22.42578125" style="184" customWidth="1"/>
    <col min="34" max="34" width="9.140625" style="184"/>
    <col min="35" max="35" width="25.85546875" style="184" customWidth="1"/>
    <col min="36" max="36" width="22.140625" style="184" customWidth="1"/>
    <col min="37" max="16384" width="9.140625" style="184"/>
  </cols>
  <sheetData>
    <row r="2" spans="1:33" ht="13.9">
      <c r="A2" s="872" t="s">
        <v>0</v>
      </c>
      <c r="B2" s="873"/>
      <c r="C2" s="873"/>
      <c r="D2" s="873"/>
      <c r="E2" s="873"/>
      <c r="F2" s="873"/>
      <c r="G2" s="873"/>
      <c r="H2" s="873"/>
      <c r="I2" s="873"/>
      <c r="J2" s="873"/>
      <c r="K2" s="873"/>
      <c r="L2" s="873"/>
      <c r="M2" s="873"/>
      <c r="N2" s="873"/>
      <c r="O2" s="873"/>
      <c r="P2" s="873"/>
      <c r="Q2" s="873"/>
      <c r="R2" s="873"/>
      <c r="S2" s="873"/>
      <c r="T2" s="873"/>
      <c r="U2" s="873"/>
      <c r="V2" s="873"/>
      <c r="W2" s="873"/>
      <c r="X2" s="873"/>
      <c r="Y2" s="873"/>
    </row>
    <row r="3" spans="1:33" ht="13.9">
      <c r="A3" s="872" t="s">
        <v>1</v>
      </c>
      <c r="B3" s="873"/>
      <c r="C3" s="873"/>
      <c r="D3" s="873"/>
      <c r="E3" s="873"/>
      <c r="F3" s="873"/>
      <c r="G3" s="873"/>
      <c r="H3" s="873"/>
      <c r="I3" s="873"/>
      <c r="J3" s="873"/>
      <c r="K3" s="873"/>
      <c r="L3" s="873"/>
      <c r="M3" s="873"/>
      <c r="N3" s="873"/>
      <c r="O3" s="873"/>
      <c r="P3" s="873"/>
      <c r="Q3" s="873"/>
      <c r="R3" s="873"/>
      <c r="S3" s="873"/>
      <c r="T3" s="873"/>
      <c r="U3" s="873"/>
      <c r="V3" s="873"/>
      <c r="W3" s="873"/>
      <c r="X3" s="873"/>
      <c r="Y3" s="873"/>
    </row>
    <row r="4" spans="1:33" ht="13.9">
      <c r="A4" s="874" t="s">
        <v>711</v>
      </c>
      <c r="B4" s="875"/>
      <c r="C4" s="875"/>
      <c r="D4" s="875"/>
      <c r="E4" s="875"/>
      <c r="F4" s="875"/>
      <c r="G4" s="875"/>
      <c r="H4" s="875"/>
      <c r="I4" s="875"/>
      <c r="J4" s="875"/>
      <c r="K4" s="875"/>
      <c r="L4" s="875"/>
      <c r="M4" s="875"/>
      <c r="N4" s="875"/>
      <c r="O4" s="875"/>
      <c r="P4" s="875"/>
      <c r="Q4" s="875"/>
      <c r="R4" s="875"/>
      <c r="S4" s="875"/>
      <c r="T4" s="875"/>
      <c r="U4" s="875"/>
      <c r="V4" s="875"/>
      <c r="W4" s="875"/>
      <c r="X4" s="875"/>
      <c r="Y4" s="875"/>
    </row>
    <row r="5" spans="1:33">
      <c r="B5" s="185" t="s">
        <v>712</v>
      </c>
      <c r="K5" s="218" t="s">
        <v>52</v>
      </c>
    </row>
    <row r="6" spans="1:33" ht="26.45">
      <c r="A6" s="186"/>
      <c r="B6" s="870" t="s">
        <v>713</v>
      </c>
      <c r="C6" s="865" t="s">
        <v>714</v>
      </c>
      <c r="D6" s="865" t="s">
        <v>715</v>
      </c>
      <c r="E6" s="865" t="s">
        <v>716</v>
      </c>
      <c r="F6" s="867" t="s">
        <v>717</v>
      </c>
      <c r="G6" s="868"/>
      <c r="H6" s="868"/>
      <c r="I6" s="868"/>
      <c r="J6" s="868"/>
      <c r="K6" s="868"/>
      <c r="L6" s="868"/>
      <c r="M6" s="868"/>
      <c r="N6" s="868"/>
      <c r="O6" s="868"/>
      <c r="P6" s="868"/>
      <c r="Q6" s="868"/>
      <c r="R6" s="868"/>
      <c r="S6" s="868"/>
      <c r="T6" s="868"/>
      <c r="U6" s="868"/>
      <c r="V6" s="868"/>
      <c r="W6" s="868"/>
      <c r="X6" s="868"/>
      <c r="Y6" s="868"/>
      <c r="Z6" s="868"/>
      <c r="AA6" s="868"/>
      <c r="AB6" s="868"/>
      <c r="AC6" s="868"/>
      <c r="AD6" s="869"/>
      <c r="AE6" s="219" t="s">
        <v>718</v>
      </c>
      <c r="AF6" s="219" t="s">
        <v>719</v>
      </c>
      <c r="AG6" s="219" t="s">
        <v>720</v>
      </c>
    </row>
    <row r="7" spans="1:33">
      <c r="A7" s="186"/>
      <c r="B7" s="871"/>
      <c r="C7" s="866"/>
      <c r="D7" s="866"/>
      <c r="E7" s="866"/>
      <c r="F7" s="189" t="s">
        <v>721</v>
      </c>
      <c r="G7" s="189" t="s">
        <v>722</v>
      </c>
      <c r="H7" s="189" t="s">
        <v>723</v>
      </c>
      <c r="I7" s="189" t="s">
        <v>724</v>
      </c>
      <c r="J7" s="189" t="s">
        <v>725</v>
      </c>
      <c r="K7" s="189" t="s">
        <v>726</v>
      </c>
      <c r="L7" s="189" t="s">
        <v>727</v>
      </c>
      <c r="M7" s="189" t="s">
        <v>728</v>
      </c>
      <c r="N7" s="189" t="s">
        <v>729</v>
      </c>
      <c r="O7" s="189" t="s">
        <v>730</v>
      </c>
      <c r="P7" s="189" t="s">
        <v>731</v>
      </c>
      <c r="Q7" s="189" t="s">
        <v>732</v>
      </c>
      <c r="R7" s="189" t="s">
        <v>733</v>
      </c>
      <c r="S7" s="189" t="s">
        <v>734</v>
      </c>
      <c r="T7" s="189" t="s">
        <v>548</v>
      </c>
      <c r="U7" s="189" t="s">
        <v>549</v>
      </c>
      <c r="V7" s="189" t="s">
        <v>550</v>
      </c>
      <c r="W7" s="189" t="s">
        <v>551</v>
      </c>
      <c r="X7" s="189" t="s">
        <v>552</v>
      </c>
      <c r="Y7" s="189" t="s">
        <v>101</v>
      </c>
      <c r="Z7" s="189" t="s">
        <v>56</v>
      </c>
      <c r="AA7" s="189" t="s">
        <v>57</v>
      </c>
      <c r="AB7" s="189" t="s">
        <v>58</v>
      </c>
      <c r="AC7" s="189" t="s">
        <v>59</v>
      </c>
      <c r="AD7" s="189" t="s">
        <v>60</v>
      </c>
      <c r="AE7" s="219"/>
      <c r="AF7" s="219"/>
      <c r="AG7" s="219"/>
    </row>
    <row r="8" spans="1:33">
      <c r="A8" s="190" t="s">
        <v>735</v>
      </c>
      <c r="B8" s="191">
        <v>2005</v>
      </c>
      <c r="C8" s="302">
        <v>0</v>
      </c>
      <c r="D8" s="303">
        <v>0</v>
      </c>
      <c r="E8" s="304">
        <v>0</v>
      </c>
      <c r="F8" s="192"/>
      <c r="G8" s="192"/>
      <c r="H8" s="192"/>
      <c r="I8" s="192"/>
      <c r="J8" s="192"/>
      <c r="K8" s="220"/>
      <c r="L8" s="220"/>
      <c r="M8" s="220"/>
      <c r="N8" s="220"/>
      <c r="O8" s="220"/>
      <c r="P8" s="220"/>
      <c r="Q8" s="220"/>
      <c r="R8" s="220"/>
      <c r="S8" s="220"/>
      <c r="T8" s="220"/>
      <c r="U8" s="220"/>
      <c r="V8" s="220"/>
      <c r="W8" s="220"/>
      <c r="X8" s="220"/>
      <c r="Y8" s="220"/>
      <c r="Z8" s="220"/>
      <c r="AA8" s="220"/>
      <c r="AB8" s="220"/>
      <c r="AC8" s="220"/>
      <c r="AD8" s="220"/>
      <c r="AE8" s="192"/>
      <c r="AF8" s="192"/>
      <c r="AG8" s="192"/>
    </row>
    <row r="9" spans="1:33">
      <c r="A9" s="190" t="s">
        <v>736</v>
      </c>
      <c r="B9" s="191" t="s">
        <v>721</v>
      </c>
      <c r="C9" s="302">
        <v>0</v>
      </c>
      <c r="D9" s="303">
        <v>0</v>
      </c>
      <c r="E9" s="304">
        <v>0</v>
      </c>
      <c r="F9" s="193"/>
      <c r="G9" s="220"/>
      <c r="H9" s="220"/>
      <c r="I9" s="220"/>
      <c r="J9" s="220"/>
      <c r="K9" s="220"/>
      <c r="L9" s="220"/>
      <c r="M9" s="220"/>
      <c r="N9" s="220"/>
      <c r="O9" s="220"/>
      <c r="P9" s="220"/>
      <c r="Q9" s="220"/>
      <c r="R9" s="220"/>
      <c r="S9" s="220"/>
      <c r="T9" s="220"/>
      <c r="U9" s="220"/>
      <c r="V9" s="220"/>
      <c r="W9" s="220"/>
      <c r="X9" s="220"/>
      <c r="Y9" s="220"/>
      <c r="Z9" s="220"/>
      <c r="AA9" s="220"/>
      <c r="AB9" s="220"/>
      <c r="AC9" s="220"/>
      <c r="AD9" s="220"/>
      <c r="AE9" s="192"/>
      <c r="AF9" s="192"/>
      <c r="AG9" s="192"/>
    </row>
    <row r="10" spans="1:33">
      <c r="A10" s="190" t="s">
        <v>736</v>
      </c>
      <c r="B10" s="191" t="s">
        <v>722</v>
      </c>
      <c r="C10" s="302">
        <v>0</v>
      </c>
      <c r="D10" s="303">
        <v>0</v>
      </c>
      <c r="E10" s="304">
        <v>0</v>
      </c>
      <c r="F10" s="221"/>
      <c r="G10" s="193"/>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192"/>
      <c r="AF10" s="192"/>
      <c r="AG10" s="192"/>
    </row>
    <row r="11" spans="1:33">
      <c r="A11" s="190" t="s">
        <v>736</v>
      </c>
      <c r="B11" s="191" t="s">
        <v>723</v>
      </c>
      <c r="C11" s="302">
        <v>0</v>
      </c>
      <c r="D11" s="303">
        <v>0</v>
      </c>
      <c r="E11" s="304">
        <v>0</v>
      </c>
      <c r="F11" s="221"/>
      <c r="G11" s="221"/>
      <c r="H11" s="193"/>
      <c r="I11" s="220"/>
      <c r="J11" s="220"/>
      <c r="K11" s="220"/>
      <c r="L11" s="220"/>
      <c r="M11" s="220"/>
      <c r="N11" s="220"/>
      <c r="O11" s="220"/>
      <c r="P11" s="220"/>
      <c r="Q11" s="220"/>
      <c r="R11" s="220"/>
      <c r="S11" s="220"/>
      <c r="T11" s="220"/>
      <c r="U11" s="220"/>
      <c r="V11" s="220"/>
      <c r="W11" s="220"/>
      <c r="X11" s="220"/>
      <c r="Y11" s="220"/>
      <c r="Z11" s="220"/>
      <c r="AA11" s="220"/>
      <c r="AB11" s="220"/>
      <c r="AC11" s="220"/>
      <c r="AD11" s="220"/>
      <c r="AE11" s="192"/>
      <c r="AF11" s="192"/>
      <c r="AG11" s="192"/>
    </row>
    <row r="12" spans="1:33">
      <c r="A12" s="190" t="s">
        <v>736</v>
      </c>
      <c r="B12" s="191" t="s">
        <v>724</v>
      </c>
      <c r="C12" s="302">
        <v>0</v>
      </c>
      <c r="D12" s="303">
        <v>0</v>
      </c>
      <c r="E12" s="304">
        <v>0</v>
      </c>
      <c r="F12" s="221"/>
      <c r="G12" s="221"/>
      <c r="H12" s="221"/>
      <c r="I12" s="193"/>
      <c r="J12" s="220"/>
      <c r="K12" s="220"/>
      <c r="L12" s="220"/>
      <c r="M12" s="220"/>
      <c r="N12" s="220"/>
      <c r="O12" s="220"/>
      <c r="P12" s="220"/>
      <c r="Q12" s="220"/>
      <c r="R12" s="220"/>
      <c r="S12" s="220"/>
      <c r="T12" s="220"/>
      <c r="U12" s="220"/>
      <c r="V12" s="220"/>
      <c r="W12" s="220"/>
      <c r="X12" s="220"/>
      <c r="Y12" s="220"/>
      <c r="Z12" s="220"/>
      <c r="AA12" s="220"/>
      <c r="AB12" s="220"/>
      <c r="AC12" s="220"/>
      <c r="AD12" s="220"/>
      <c r="AE12" s="192"/>
      <c r="AF12" s="192"/>
      <c r="AG12" s="192"/>
    </row>
    <row r="13" spans="1:33">
      <c r="A13" s="190" t="s">
        <v>736</v>
      </c>
      <c r="B13" s="191" t="s">
        <v>725</v>
      </c>
      <c r="C13" s="302">
        <v>0</v>
      </c>
      <c r="D13" s="303">
        <v>0</v>
      </c>
      <c r="E13" s="304">
        <v>0</v>
      </c>
      <c r="F13" s="221"/>
      <c r="G13" s="221"/>
      <c r="H13" s="221"/>
      <c r="I13" s="221"/>
      <c r="J13" s="193"/>
      <c r="K13" s="220"/>
      <c r="L13" s="220"/>
      <c r="M13" s="220"/>
      <c r="N13" s="220"/>
      <c r="O13" s="220"/>
      <c r="P13" s="220"/>
      <c r="Q13" s="220"/>
      <c r="R13" s="220"/>
      <c r="S13" s="220"/>
      <c r="T13" s="220"/>
      <c r="U13" s="220"/>
      <c r="V13" s="220"/>
      <c r="W13" s="220"/>
      <c r="X13" s="220"/>
      <c r="Y13" s="220"/>
      <c r="Z13" s="220"/>
      <c r="AA13" s="220"/>
      <c r="AB13" s="220"/>
      <c r="AC13" s="220"/>
      <c r="AD13" s="220"/>
      <c r="AE13" s="192"/>
      <c r="AF13" s="192"/>
      <c r="AG13" s="192"/>
    </row>
    <row r="14" spans="1:33">
      <c r="A14" s="190" t="s">
        <v>736</v>
      </c>
      <c r="B14" s="191" t="s">
        <v>726</v>
      </c>
      <c r="C14" s="302">
        <v>0</v>
      </c>
      <c r="D14" s="303">
        <v>0</v>
      </c>
      <c r="E14" s="304">
        <v>0</v>
      </c>
      <c r="F14" s="221"/>
      <c r="G14" s="221"/>
      <c r="H14" s="221"/>
      <c r="I14" s="221"/>
      <c r="J14" s="221"/>
      <c r="K14" s="193"/>
      <c r="L14" s="220"/>
      <c r="M14" s="220"/>
      <c r="N14" s="220"/>
      <c r="O14" s="220"/>
      <c r="P14" s="220"/>
      <c r="Q14" s="220"/>
      <c r="R14" s="220"/>
      <c r="S14" s="220"/>
      <c r="T14" s="220"/>
      <c r="U14" s="220"/>
      <c r="V14" s="220"/>
      <c r="W14" s="220"/>
      <c r="X14" s="220"/>
      <c r="Y14" s="220"/>
      <c r="Z14" s="220"/>
      <c r="AA14" s="220"/>
      <c r="AB14" s="220"/>
      <c r="AC14" s="220"/>
      <c r="AD14" s="220"/>
      <c r="AE14" s="192"/>
      <c r="AF14" s="192"/>
      <c r="AG14" s="192"/>
    </row>
    <row r="15" spans="1:33">
      <c r="A15" s="190" t="s">
        <v>736</v>
      </c>
      <c r="B15" s="191" t="s">
        <v>727</v>
      </c>
      <c r="C15" s="302">
        <v>0</v>
      </c>
      <c r="D15" s="303">
        <v>0</v>
      </c>
      <c r="E15" s="304">
        <v>0</v>
      </c>
      <c r="F15" s="221"/>
      <c r="G15" s="221"/>
      <c r="H15" s="221"/>
      <c r="I15" s="221"/>
      <c r="J15" s="221"/>
      <c r="K15" s="221"/>
      <c r="L15" s="193"/>
      <c r="M15" s="220"/>
      <c r="N15" s="220"/>
      <c r="O15" s="220"/>
      <c r="P15" s="220"/>
      <c r="Q15" s="220"/>
      <c r="R15" s="220"/>
      <c r="S15" s="220"/>
      <c r="T15" s="220"/>
      <c r="U15" s="220"/>
      <c r="V15" s="220"/>
      <c r="W15" s="220"/>
      <c r="X15" s="220"/>
      <c r="Y15" s="220"/>
      <c r="Z15" s="220"/>
      <c r="AA15" s="220"/>
      <c r="AB15" s="220"/>
      <c r="AC15" s="220"/>
      <c r="AD15" s="220"/>
      <c r="AE15" s="192"/>
      <c r="AF15" s="192"/>
      <c r="AG15" s="192"/>
    </row>
    <row r="16" spans="1:33">
      <c r="A16" s="190" t="s">
        <v>736</v>
      </c>
      <c r="B16" s="191" t="s">
        <v>728</v>
      </c>
      <c r="C16" s="302">
        <v>0</v>
      </c>
      <c r="D16" s="303">
        <v>0</v>
      </c>
      <c r="E16" s="304">
        <v>0</v>
      </c>
      <c r="F16" s="221"/>
      <c r="G16" s="221"/>
      <c r="H16" s="221"/>
      <c r="I16" s="221"/>
      <c r="J16" s="221"/>
      <c r="K16" s="221"/>
      <c r="L16" s="221"/>
      <c r="M16" s="193"/>
      <c r="N16" s="220"/>
      <c r="O16" s="220"/>
      <c r="P16" s="220"/>
      <c r="Q16" s="220"/>
      <c r="R16" s="220"/>
      <c r="S16" s="220"/>
      <c r="T16" s="220"/>
      <c r="U16" s="220"/>
      <c r="V16" s="220"/>
      <c r="W16" s="220"/>
      <c r="X16" s="220"/>
      <c r="Y16" s="220"/>
      <c r="Z16" s="220"/>
      <c r="AA16" s="220"/>
      <c r="AB16" s="220"/>
      <c r="AC16" s="220"/>
      <c r="AD16" s="220"/>
      <c r="AE16" s="192"/>
      <c r="AF16" s="192"/>
      <c r="AG16" s="192"/>
    </row>
    <row r="17" spans="1:33">
      <c r="A17" s="190" t="s">
        <v>736</v>
      </c>
      <c r="B17" s="191" t="s">
        <v>729</v>
      </c>
      <c r="C17" s="302">
        <v>0</v>
      </c>
      <c r="D17" s="303">
        <v>0</v>
      </c>
      <c r="E17" s="304">
        <v>0</v>
      </c>
      <c r="F17" s="221"/>
      <c r="G17" s="221"/>
      <c r="H17" s="221"/>
      <c r="I17" s="221"/>
      <c r="J17" s="221"/>
      <c r="K17" s="221"/>
      <c r="L17" s="221"/>
      <c r="M17" s="221"/>
      <c r="N17" s="193"/>
      <c r="O17" s="220"/>
      <c r="P17" s="220"/>
      <c r="Q17" s="220"/>
      <c r="R17" s="220"/>
      <c r="S17" s="220"/>
      <c r="T17" s="220"/>
      <c r="U17" s="220"/>
      <c r="V17" s="220"/>
      <c r="W17" s="220"/>
      <c r="X17" s="220"/>
      <c r="Y17" s="220"/>
      <c r="Z17" s="220"/>
      <c r="AA17" s="220"/>
      <c r="AB17" s="220"/>
      <c r="AC17" s="220"/>
      <c r="AD17" s="220"/>
      <c r="AE17" s="192"/>
      <c r="AF17" s="192"/>
      <c r="AG17" s="192"/>
    </row>
    <row r="18" spans="1:33">
      <c r="A18" s="190" t="s">
        <v>736</v>
      </c>
      <c r="B18" s="191" t="s">
        <v>730</v>
      </c>
      <c r="C18" s="302">
        <v>0</v>
      </c>
      <c r="D18" s="303">
        <v>0</v>
      </c>
      <c r="E18" s="304">
        <v>0</v>
      </c>
      <c r="F18" s="221"/>
      <c r="G18" s="221"/>
      <c r="H18" s="221"/>
      <c r="I18" s="221"/>
      <c r="J18" s="221"/>
      <c r="K18" s="221"/>
      <c r="L18" s="221"/>
      <c r="M18" s="221"/>
      <c r="N18" s="221"/>
      <c r="O18" s="193"/>
      <c r="P18" s="220"/>
      <c r="Q18" s="220"/>
      <c r="R18" s="220"/>
      <c r="S18" s="220"/>
      <c r="T18" s="220"/>
      <c r="U18" s="220"/>
      <c r="V18" s="220"/>
      <c r="W18" s="220"/>
      <c r="X18" s="220"/>
      <c r="Y18" s="220"/>
      <c r="Z18" s="220"/>
      <c r="AA18" s="220"/>
      <c r="AB18" s="220"/>
      <c r="AC18" s="220"/>
      <c r="AD18" s="220"/>
      <c r="AE18" s="192"/>
      <c r="AF18" s="192"/>
      <c r="AG18" s="192"/>
    </row>
    <row r="19" spans="1:33">
      <c r="A19" s="190" t="s">
        <v>736</v>
      </c>
      <c r="B19" s="191" t="s">
        <v>731</v>
      </c>
      <c r="C19" s="302">
        <v>0</v>
      </c>
      <c r="D19" s="303">
        <v>0</v>
      </c>
      <c r="E19" s="304">
        <v>0</v>
      </c>
      <c r="F19" s="221"/>
      <c r="G19" s="221"/>
      <c r="H19" s="221"/>
      <c r="I19" s="221"/>
      <c r="J19" s="221"/>
      <c r="K19" s="221"/>
      <c r="L19" s="221"/>
      <c r="M19" s="221"/>
      <c r="N19" s="221"/>
      <c r="O19" s="221"/>
      <c r="P19" s="193"/>
      <c r="Q19" s="220"/>
      <c r="R19" s="220"/>
      <c r="S19" s="220"/>
      <c r="T19" s="220"/>
      <c r="U19" s="220"/>
      <c r="V19" s="220"/>
      <c r="W19" s="220"/>
      <c r="X19" s="220"/>
      <c r="Y19" s="220"/>
      <c r="Z19" s="220"/>
      <c r="AA19" s="220"/>
      <c r="AB19" s="220"/>
      <c r="AC19" s="220"/>
      <c r="AD19" s="220"/>
      <c r="AE19" s="192"/>
      <c r="AF19" s="192"/>
      <c r="AG19" s="192"/>
    </row>
    <row r="20" spans="1:33">
      <c r="A20" s="190" t="s">
        <v>736</v>
      </c>
      <c r="B20" s="191" t="s">
        <v>732</v>
      </c>
      <c r="C20" s="302">
        <v>0</v>
      </c>
      <c r="D20" s="303">
        <v>0</v>
      </c>
      <c r="E20" s="304">
        <v>0</v>
      </c>
      <c r="F20" s="221"/>
      <c r="G20" s="221"/>
      <c r="H20" s="221"/>
      <c r="I20" s="221"/>
      <c r="J20" s="221"/>
      <c r="K20" s="221"/>
      <c r="L20" s="221"/>
      <c r="M20" s="221"/>
      <c r="N20" s="221"/>
      <c r="O20" s="221"/>
      <c r="P20" s="221"/>
      <c r="Q20" s="193"/>
      <c r="R20" s="220"/>
      <c r="S20" s="220"/>
      <c r="T20" s="220"/>
      <c r="U20" s="220"/>
      <c r="V20" s="220"/>
      <c r="W20" s="220"/>
      <c r="X20" s="220"/>
      <c r="Y20" s="220"/>
      <c r="Z20" s="220"/>
      <c r="AA20" s="220"/>
      <c r="AB20" s="220"/>
      <c r="AC20" s="220"/>
      <c r="AD20" s="220"/>
      <c r="AE20" s="192"/>
      <c r="AF20" s="192"/>
      <c r="AG20" s="192"/>
    </row>
    <row r="21" spans="1:33">
      <c r="A21" s="190" t="s">
        <v>736</v>
      </c>
      <c r="B21" s="191" t="s">
        <v>733</v>
      </c>
      <c r="C21" s="302">
        <v>0</v>
      </c>
      <c r="D21" s="303">
        <v>0</v>
      </c>
      <c r="E21" s="304">
        <v>0</v>
      </c>
      <c r="F21" s="221"/>
      <c r="G21" s="221"/>
      <c r="H21" s="221"/>
      <c r="I21" s="221"/>
      <c r="J21" s="221"/>
      <c r="K21" s="221"/>
      <c r="L21" s="221"/>
      <c r="M21" s="221"/>
      <c r="N21" s="221"/>
      <c r="O21" s="221"/>
      <c r="P21" s="221"/>
      <c r="Q21" s="221"/>
      <c r="R21" s="193"/>
      <c r="S21" s="220"/>
      <c r="T21" s="220"/>
      <c r="U21" s="220"/>
      <c r="V21" s="220"/>
      <c r="W21" s="220"/>
      <c r="X21" s="220"/>
      <c r="Y21" s="220"/>
      <c r="Z21" s="220"/>
      <c r="AA21" s="220"/>
      <c r="AB21" s="220"/>
      <c r="AC21" s="220"/>
      <c r="AD21" s="220"/>
      <c r="AE21" s="192"/>
      <c r="AF21" s="192"/>
      <c r="AG21" s="192"/>
    </row>
    <row r="22" spans="1:33">
      <c r="A22" s="190" t="s">
        <v>736</v>
      </c>
      <c r="B22" s="191" t="s">
        <v>734</v>
      </c>
      <c r="C22" s="302">
        <v>0</v>
      </c>
      <c r="D22" s="303">
        <v>0</v>
      </c>
      <c r="E22" s="304">
        <v>0</v>
      </c>
      <c r="F22" s="221"/>
      <c r="G22" s="221"/>
      <c r="H22" s="221"/>
      <c r="I22" s="221"/>
      <c r="J22" s="221"/>
      <c r="K22" s="221"/>
      <c r="L22" s="221"/>
      <c r="M22" s="221"/>
      <c r="N22" s="221"/>
      <c r="O22" s="221"/>
      <c r="P22" s="221"/>
      <c r="Q22" s="221"/>
      <c r="R22" s="221"/>
      <c r="S22" s="193"/>
      <c r="T22" s="220"/>
      <c r="U22" s="220"/>
      <c r="V22" s="220"/>
      <c r="W22" s="220"/>
      <c r="X22" s="220"/>
      <c r="Y22" s="220"/>
      <c r="Z22" s="220"/>
      <c r="AA22" s="220"/>
      <c r="AB22" s="220"/>
      <c r="AC22" s="220"/>
      <c r="AD22" s="220"/>
      <c r="AE22" s="192"/>
      <c r="AF22" s="192"/>
      <c r="AG22" s="192"/>
    </row>
    <row r="23" spans="1:33">
      <c r="A23" s="190" t="s">
        <v>736</v>
      </c>
      <c r="B23" s="191" t="s">
        <v>548</v>
      </c>
      <c r="C23" s="302">
        <v>0</v>
      </c>
      <c r="D23" s="303">
        <v>0</v>
      </c>
      <c r="E23" s="304">
        <v>0</v>
      </c>
      <c r="F23" s="221"/>
      <c r="G23" s="221"/>
      <c r="H23" s="221"/>
      <c r="I23" s="221"/>
      <c r="J23" s="221"/>
      <c r="K23" s="221"/>
      <c r="L23" s="221"/>
      <c r="M23" s="221"/>
      <c r="N23" s="221"/>
      <c r="O23" s="221"/>
      <c r="P23" s="221"/>
      <c r="Q23" s="221"/>
      <c r="R23" s="221"/>
      <c r="S23" s="221"/>
      <c r="T23" s="193"/>
      <c r="U23" s="220"/>
      <c r="V23" s="220"/>
      <c r="W23" s="220"/>
      <c r="X23" s="220"/>
      <c r="Y23" s="220"/>
      <c r="Z23" s="220"/>
      <c r="AA23" s="220"/>
      <c r="AB23" s="220"/>
      <c r="AC23" s="220"/>
      <c r="AD23" s="220"/>
      <c r="AE23" s="192"/>
      <c r="AF23" s="192"/>
      <c r="AG23" s="192"/>
    </row>
    <row r="24" spans="1:33">
      <c r="A24" s="190" t="s">
        <v>736</v>
      </c>
      <c r="B24" s="191" t="s">
        <v>549</v>
      </c>
      <c r="C24" s="302">
        <v>0</v>
      </c>
      <c r="D24" s="303">
        <v>0</v>
      </c>
      <c r="E24" s="304">
        <v>0</v>
      </c>
      <c r="F24" s="221"/>
      <c r="G24" s="221"/>
      <c r="H24" s="221"/>
      <c r="I24" s="221"/>
      <c r="J24" s="221"/>
      <c r="K24" s="221"/>
      <c r="L24" s="221"/>
      <c r="M24" s="221"/>
      <c r="N24" s="221"/>
      <c r="O24" s="221"/>
      <c r="P24" s="221"/>
      <c r="Q24" s="221"/>
      <c r="R24" s="221"/>
      <c r="S24" s="221"/>
      <c r="T24" s="221"/>
      <c r="U24" s="193"/>
      <c r="V24" s="220"/>
      <c r="W24" s="220"/>
      <c r="X24" s="220"/>
      <c r="Y24" s="220"/>
      <c r="Z24" s="220"/>
      <c r="AA24" s="220"/>
      <c r="AB24" s="220"/>
      <c r="AC24" s="220"/>
      <c r="AD24" s="220"/>
      <c r="AE24" s="192"/>
      <c r="AF24" s="192"/>
      <c r="AG24" s="192"/>
    </row>
    <row r="25" spans="1:33">
      <c r="A25" s="190" t="s">
        <v>736</v>
      </c>
      <c r="B25" s="191" t="s">
        <v>550</v>
      </c>
      <c r="C25" s="302">
        <v>0</v>
      </c>
      <c r="D25" s="303">
        <v>0</v>
      </c>
      <c r="E25" s="304">
        <v>0</v>
      </c>
      <c r="F25" s="221"/>
      <c r="G25" s="221"/>
      <c r="H25" s="221"/>
      <c r="I25" s="221"/>
      <c r="J25" s="221"/>
      <c r="K25" s="221"/>
      <c r="L25" s="221"/>
      <c r="M25" s="221"/>
      <c r="N25" s="221"/>
      <c r="O25" s="221"/>
      <c r="P25" s="221"/>
      <c r="Q25" s="221"/>
      <c r="R25" s="221"/>
      <c r="S25" s="221"/>
      <c r="T25" s="221"/>
      <c r="U25" s="221"/>
      <c r="V25" s="193"/>
      <c r="W25" s="220"/>
      <c r="X25" s="220"/>
      <c r="Y25" s="220"/>
      <c r="Z25" s="220"/>
      <c r="AA25" s="220"/>
      <c r="AB25" s="220"/>
      <c r="AC25" s="220"/>
      <c r="AD25" s="220"/>
      <c r="AE25" s="192"/>
      <c r="AF25" s="192"/>
      <c r="AG25" s="192"/>
    </row>
    <row r="26" spans="1:33">
      <c r="A26" s="190" t="s">
        <v>736</v>
      </c>
      <c r="B26" s="191" t="s">
        <v>551</v>
      </c>
      <c r="C26" s="302">
        <v>0</v>
      </c>
      <c r="D26" s="303">
        <v>0</v>
      </c>
      <c r="E26" s="304">
        <v>0</v>
      </c>
      <c r="F26" s="221"/>
      <c r="G26" s="221"/>
      <c r="H26" s="221"/>
      <c r="I26" s="221"/>
      <c r="J26" s="221"/>
      <c r="K26" s="221"/>
      <c r="L26" s="221"/>
      <c r="M26" s="221"/>
      <c r="N26" s="221"/>
      <c r="O26" s="221"/>
      <c r="P26" s="221"/>
      <c r="Q26" s="221"/>
      <c r="R26" s="221"/>
      <c r="S26" s="221"/>
      <c r="T26" s="221"/>
      <c r="U26" s="221"/>
      <c r="V26" s="221"/>
      <c r="W26" s="193"/>
      <c r="X26" s="220"/>
      <c r="Y26" s="220"/>
      <c r="Z26" s="220"/>
      <c r="AA26" s="220"/>
      <c r="AB26" s="220"/>
      <c r="AC26" s="220"/>
      <c r="AD26" s="220"/>
      <c r="AE26" s="192"/>
      <c r="AF26" s="192"/>
      <c r="AG26" s="192"/>
    </row>
    <row r="27" spans="1:33">
      <c r="A27" s="190" t="s">
        <v>736</v>
      </c>
      <c r="B27" s="191" t="s">
        <v>552</v>
      </c>
      <c r="C27" s="302">
        <v>0</v>
      </c>
      <c r="D27" s="303">
        <v>0</v>
      </c>
      <c r="E27" s="304">
        <v>0</v>
      </c>
      <c r="F27" s="221"/>
      <c r="G27" s="221"/>
      <c r="H27" s="221"/>
      <c r="I27" s="221"/>
      <c r="J27" s="221"/>
      <c r="K27" s="221"/>
      <c r="L27" s="221"/>
      <c r="M27" s="221"/>
      <c r="N27" s="221"/>
      <c r="O27" s="221"/>
      <c r="P27" s="221"/>
      <c r="Q27" s="221"/>
      <c r="R27" s="221"/>
      <c r="S27" s="221"/>
      <c r="T27" s="221"/>
      <c r="U27" s="221"/>
      <c r="V27" s="221"/>
      <c r="W27" s="221"/>
      <c r="X27" s="193"/>
      <c r="Y27" s="220"/>
      <c r="Z27" s="220"/>
      <c r="AA27" s="220"/>
      <c r="AB27" s="220"/>
      <c r="AC27" s="220"/>
      <c r="AD27" s="220"/>
      <c r="AE27" s="192"/>
      <c r="AF27" s="192"/>
      <c r="AG27" s="192"/>
    </row>
    <row r="28" spans="1:33">
      <c r="A28" s="190" t="s">
        <v>736</v>
      </c>
      <c r="B28" s="191" t="s">
        <v>553</v>
      </c>
      <c r="C28" s="302">
        <v>0</v>
      </c>
      <c r="D28" s="303">
        <v>0</v>
      </c>
      <c r="E28" s="304">
        <v>0</v>
      </c>
      <c r="F28" s="221"/>
      <c r="G28" s="221"/>
      <c r="H28" s="221"/>
      <c r="I28" s="221"/>
      <c r="J28" s="221"/>
      <c r="K28" s="221"/>
      <c r="L28" s="221"/>
      <c r="M28" s="221"/>
      <c r="N28" s="221"/>
      <c r="O28" s="221"/>
      <c r="P28" s="221"/>
      <c r="Q28" s="221"/>
      <c r="R28" s="221"/>
      <c r="S28" s="221"/>
      <c r="T28" s="221"/>
      <c r="U28" s="221"/>
      <c r="V28" s="221"/>
      <c r="W28" s="221"/>
      <c r="X28" s="221"/>
      <c r="Y28" s="193"/>
      <c r="Z28" s="220"/>
      <c r="AA28" s="220"/>
      <c r="AB28" s="220"/>
      <c r="AC28" s="220"/>
      <c r="AD28" s="220"/>
      <c r="AE28" s="192"/>
      <c r="AF28" s="192"/>
      <c r="AG28" s="192"/>
    </row>
    <row r="29" spans="1:33">
      <c r="A29" s="190" t="s">
        <v>736</v>
      </c>
      <c r="B29" t="s">
        <v>634</v>
      </c>
      <c r="C29" s="302">
        <v>0</v>
      </c>
      <c r="D29" s="303">
        <v>0</v>
      </c>
      <c r="E29" s="304">
        <v>0</v>
      </c>
      <c r="F29" s="221"/>
      <c r="G29" s="221"/>
      <c r="H29" s="221"/>
      <c r="I29" s="221"/>
      <c r="J29" s="221"/>
      <c r="K29" s="221"/>
      <c r="L29" s="221"/>
      <c r="M29" s="221"/>
      <c r="N29" s="221"/>
      <c r="O29" s="221"/>
      <c r="P29" s="221"/>
      <c r="Q29" s="221"/>
      <c r="R29" s="221"/>
      <c r="S29" s="221"/>
      <c r="T29" s="221"/>
      <c r="U29" s="221"/>
      <c r="V29" s="221"/>
      <c r="W29" s="221"/>
      <c r="X29" s="221"/>
      <c r="Y29" s="221"/>
      <c r="Z29" s="193"/>
      <c r="AA29" s="220"/>
      <c r="AB29" s="220"/>
      <c r="AC29" s="220"/>
      <c r="AD29" s="220"/>
      <c r="AE29" s="192"/>
      <c r="AF29" s="192"/>
      <c r="AG29" s="192"/>
    </row>
    <row r="30" spans="1:33">
      <c r="A30" s="190" t="s">
        <v>736</v>
      </c>
      <c r="B30" t="s">
        <v>635</v>
      </c>
      <c r="C30" s="302">
        <v>0</v>
      </c>
      <c r="D30" s="303">
        <v>0</v>
      </c>
      <c r="E30" s="304">
        <v>0</v>
      </c>
      <c r="F30" s="221"/>
      <c r="G30" s="221"/>
      <c r="H30" s="221"/>
      <c r="I30" s="221"/>
      <c r="J30" s="221"/>
      <c r="K30" s="221"/>
      <c r="L30" s="221"/>
      <c r="M30" s="221"/>
      <c r="N30" s="221"/>
      <c r="O30" s="221"/>
      <c r="P30" s="221"/>
      <c r="Q30" s="221"/>
      <c r="R30" s="221"/>
      <c r="S30" s="221"/>
      <c r="T30" s="221"/>
      <c r="U30" s="221"/>
      <c r="V30" s="221"/>
      <c r="W30" s="221"/>
      <c r="X30" s="221"/>
      <c r="Y30" s="221"/>
      <c r="Z30" s="221"/>
      <c r="AA30" s="193"/>
      <c r="AB30" s="220"/>
      <c r="AC30" s="220"/>
      <c r="AD30" s="220"/>
      <c r="AE30" s="192"/>
      <c r="AF30" s="192"/>
      <c r="AG30" s="192"/>
    </row>
    <row r="31" spans="1:33">
      <c r="A31" s="190" t="s">
        <v>736</v>
      </c>
      <c r="B31" t="s">
        <v>636</v>
      </c>
      <c r="C31" s="302">
        <v>0</v>
      </c>
      <c r="D31" s="303">
        <v>0</v>
      </c>
      <c r="E31" s="304">
        <v>0</v>
      </c>
      <c r="F31" s="221"/>
      <c r="G31" s="221"/>
      <c r="H31" s="221"/>
      <c r="I31" s="221"/>
      <c r="J31" s="221"/>
      <c r="K31" s="221"/>
      <c r="L31" s="221"/>
      <c r="M31" s="221"/>
      <c r="N31" s="221"/>
      <c r="O31" s="221"/>
      <c r="P31" s="221"/>
      <c r="Q31" s="221"/>
      <c r="R31" s="221"/>
      <c r="S31" s="221"/>
      <c r="T31" s="221"/>
      <c r="U31" s="221"/>
      <c r="V31" s="221"/>
      <c r="W31" s="221"/>
      <c r="X31" s="221"/>
      <c r="Y31" s="221"/>
      <c r="Z31" s="221"/>
      <c r="AA31" s="221"/>
      <c r="AB31" s="193"/>
      <c r="AC31" s="220"/>
      <c r="AD31" s="220"/>
      <c r="AE31" s="192"/>
      <c r="AF31" s="192"/>
      <c r="AG31" s="192"/>
    </row>
    <row r="32" spans="1:33">
      <c r="A32" s="190" t="s">
        <v>736</v>
      </c>
      <c r="B32" t="s">
        <v>637</v>
      </c>
      <c r="C32" s="302">
        <v>0</v>
      </c>
      <c r="D32" s="303">
        <v>0</v>
      </c>
      <c r="E32" s="304">
        <v>0</v>
      </c>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193"/>
      <c r="AD32" s="220"/>
      <c r="AE32" s="192"/>
      <c r="AF32" s="192"/>
      <c r="AG32" s="192"/>
    </row>
    <row r="33" spans="1:36">
      <c r="A33" s="190" t="s">
        <v>736</v>
      </c>
      <c r="B33" t="s">
        <v>638</v>
      </c>
      <c r="C33" s="302">
        <v>0</v>
      </c>
      <c r="D33" s="303">
        <v>0</v>
      </c>
      <c r="E33" s="304">
        <v>0</v>
      </c>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193"/>
      <c r="AE33" s="192"/>
      <c r="AF33" s="192"/>
      <c r="AG33" s="192"/>
    </row>
    <row r="34" spans="1:36">
      <c r="A34" s="194"/>
      <c r="B34" s="195" t="s">
        <v>219</v>
      </c>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row>
    <row r="36" spans="1:36" s="198" customFormat="1">
      <c r="A36" s="184"/>
      <c r="B36" s="185" t="s">
        <v>737</v>
      </c>
      <c r="C36" s="184"/>
      <c r="D36" s="184"/>
      <c r="E36" s="184"/>
      <c r="F36" s="184"/>
      <c r="G36" s="184"/>
      <c r="H36" s="184"/>
      <c r="I36" s="184"/>
      <c r="J36" s="184"/>
      <c r="K36" s="218" t="s">
        <v>52</v>
      </c>
      <c r="L36" s="184"/>
      <c r="M36" s="197"/>
      <c r="N36" s="184"/>
      <c r="O36" s="197"/>
      <c r="P36" s="197"/>
      <c r="Q36" s="184"/>
      <c r="R36" s="184"/>
      <c r="S36" s="184"/>
      <c r="T36" s="184"/>
      <c r="U36" s="184"/>
      <c r="V36" s="184"/>
      <c r="W36" s="184"/>
      <c r="X36" s="184"/>
      <c r="Y36" s="184"/>
      <c r="Z36" s="184"/>
      <c r="AA36" s="184"/>
      <c r="AB36" s="184"/>
      <c r="AC36" s="184"/>
      <c r="AD36" s="184"/>
      <c r="AE36" s="184"/>
      <c r="AF36" s="184"/>
      <c r="AG36" s="184"/>
      <c r="AI36" s="199"/>
      <c r="AJ36" s="199"/>
    </row>
    <row r="37" spans="1:36" ht="26.45">
      <c r="A37" s="188"/>
      <c r="B37" s="187" t="s">
        <v>713</v>
      </c>
      <c r="C37" s="865" t="s">
        <v>738</v>
      </c>
      <c r="D37" s="865" t="s">
        <v>715</v>
      </c>
      <c r="E37" s="865" t="s">
        <v>716</v>
      </c>
      <c r="F37" s="867" t="s">
        <v>717</v>
      </c>
      <c r="G37" s="868"/>
      <c r="H37" s="868"/>
      <c r="I37" s="868"/>
      <c r="J37" s="868"/>
      <c r="K37" s="868"/>
      <c r="L37" s="868"/>
      <c r="M37" s="868"/>
      <c r="N37" s="868"/>
      <c r="O37" s="868"/>
      <c r="P37" s="868"/>
      <c r="Q37" s="868"/>
      <c r="R37" s="868"/>
      <c r="S37" s="868"/>
      <c r="T37" s="868"/>
      <c r="U37" s="868"/>
      <c r="V37" s="868"/>
      <c r="W37" s="868"/>
      <c r="X37" s="868"/>
      <c r="Y37" s="868"/>
      <c r="Z37" s="868"/>
      <c r="AA37" s="868"/>
      <c r="AB37" s="868"/>
      <c r="AC37" s="868"/>
      <c r="AD37" s="869"/>
      <c r="AE37" s="219" t="s">
        <v>718</v>
      </c>
      <c r="AF37" s="219" t="s">
        <v>719</v>
      </c>
      <c r="AG37" s="219" t="s">
        <v>720</v>
      </c>
    </row>
    <row r="38" spans="1:36">
      <c r="A38" s="188"/>
      <c r="B38" s="187"/>
      <c r="C38" s="866"/>
      <c r="D38" s="866"/>
      <c r="E38" s="866"/>
      <c r="F38" s="189" t="s">
        <v>721</v>
      </c>
      <c r="G38" s="189" t="s">
        <v>722</v>
      </c>
      <c r="H38" s="189" t="s">
        <v>723</v>
      </c>
      <c r="I38" s="189" t="s">
        <v>724</v>
      </c>
      <c r="J38" s="189" t="s">
        <v>725</v>
      </c>
      <c r="K38" s="189" t="s">
        <v>726</v>
      </c>
      <c r="L38" s="189" t="s">
        <v>727</v>
      </c>
      <c r="M38" s="189" t="s">
        <v>728</v>
      </c>
      <c r="N38" s="189" t="s">
        <v>729</v>
      </c>
      <c r="O38" s="189" t="s">
        <v>730</v>
      </c>
      <c r="P38" s="189" t="s">
        <v>731</v>
      </c>
      <c r="Q38" s="189" t="s">
        <v>732</v>
      </c>
      <c r="R38" s="189" t="s">
        <v>733</v>
      </c>
      <c r="S38" s="189" t="s">
        <v>734</v>
      </c>
      <c r="T38" s="189" t="s">
        <v>548</v>
      </c>
      <c r="U38" s="189" t="s">
        <v>549</v>
      </c>
      <c r="V38" s="189" t="s">
        <v>550</v>
      </c>
      <c r="W38" s="189" t="s">
        <v>551</v>
      </c>
      <c r="X38" s="189" t="s">
        <v>552</v>
      </c>
      <c r="Y38" s="189" t="s">
        <v>101</v>
      </c>
      <c r="Z38" s="189" t="s">
        <v>56</v>
      </c>
      <c r="AA38" s="189" t="s">
        <v>57</v>
      </c>
      <c r="AB38" s="189" t="s">
        <v>58</v>
      </c>
      <c r="AC38" s="189" t="s">
        <v>59</v>
      </c>
      <c r="AD38" s="189" t="s">
        <v>60</v>
      </c>
      <c r="AE38" s="219"/>
      <c r="AF38" s="219"/>
      <c r="AG38" s="219"/>
    </row>
    <row r="39" spans="1:36">
      <c r="A39" s="190" t="s">
        <v>735</v>
      </c>
      <c r="B39" s="191">
        <v>2005</v>
      </c>
      <c r="C39" s="190">
        <v>0</v>
      </c>
      <c r="D39" s="190">
        <v>0</v>
      </c>
      <c r="E39" s="200">
        <v>0</v>
      </c>
      <c r="F39" s="192"/>
      <c r="G39" s="192"/>
      <c r="H39" s="192"/>
      <c r="I39" s="192"/>
      <c r="J39" s="192"/>
      <c r="K39" s="220"/>
      <c r="L39" s="220"/>
      <c r="M39" s="220"/>
      <c r="N39" s="220"/>
      <c r="O39" s="220"/>
      <c r="P39" s="220"/>
      <c r="Q39" s="220"/>
      <c r="R39" s="220"/>
      <c r="S39" s="220"/>
      <c r="T39" s="220"/>
      <c r="U39" s="220"/>
      <c r="V39" s="220"/>
      <c r="W39" s="220"/>
      <c r="X39" s="220"/>
      <c r="Y39" s="220"/>
      <c r="Z39" s="220"/>
      <c r="AA39" s="220"/>
      <c r="AB39" s="220"/>
      <c r="AC39" s="220"/>
      <c r="AD39" s="220"/>
      <c r="AE39" s="192"/>
      <c r="AF39" s="192"/>
      <c r="AG39" s="222"/>
      <c r="AI39" s="197"/>
    </row>
    <row r="40" spans="1:36">
      <c r="A40" s="190" t="s">
        <v>736</v>
      </c>
      <c r="B40" s="191" t="s">
        <v>721</v>
      </c>
      <c r="C40" s="190">
        <v>0</v>
      </c>
      <c r="D40" s="190">
        <v>0</v>
      </c>
      <c r="E40" s="200">
        <v>0</v>
      </c>
      <c r="F40" s="193"/>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192"/>
      <c r="AF40" s="192"/>
      <c r="AG40" s="222"/>
      <c r="AI40" s="197"/>
    </row>
    <row r="41" spans="1:36">
      <c r="A41" s="190" t="s">
        <v>736</v>
      </c>
      <c r="B41" s="191" t="s">
        <v>722</v>
      </c>
      <c r="C41" s="190">
        <v>0</v>
      </c>
      <c r="D41" s="190">
        <v>0</v>
      </c>
      <c r="E41" s="200">
        <v>0</v>
      </c>
      <c r="F41" s="221"/>
      <c r="G41" s="193"/>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192"/>
      <c r="AF41" s="192"/>
      <c r="AG41" s="222"/>
      <c r="AI41" s="197"/>
    </row>
    <row r="42" spans="1:36">
      <c r="A42" s="190" t="s">
        <v>736</v>
      </c>
      <c r="B42" s="191" t="s">
        <v>723</v>
      </c>
      <c r="C42" s="190">
        <v>0</v>
      </c>
      <c r="D42" s="190">
        <v>0</v>
      </c>
      <c r="E42" s="200">
        <v>0</v>
      </c>
      <c r="F42" s="221"/>
      <c r="G42" s="221"/>
      <c r="H42" s="193"/>
      <c r="I42" s="220"/>
      <c r="J42" s="220"/>
      <c r="K42" s="220"/>
      <c r="L42" s="220"/>
      <c r="M42" s="220"/>
      <c r="N42" s="220"/>
      <c r="O42" s="220"/>
      <c r="P42" s="220"/>
      <c r="Q42" s="220"/>
      <c r="R42" s="220"/>
      <c r="S42" s="220"/>
      <c r="T42" s="220"/>
      <c r="U42" s="220"/>
      <c r="V42" s="220"/>
      <c r="W42" s="220"/>
      <c r="X42" s="220"/>
      <c r="Y42" s="220"/>
      <c r="Z42" s="220"/>
      <c r="AA42" s="220"/>
      <c r="AB42" s="220"/>
      <c r="AC42" s="220"/>
      <c r="AD42" s="220"/>
      <c r="AE42" s="192"/>
      <c r="AF42" s="192"/>
      <c r="AG42" s="222"/>
      <c r="AI42" s="197"/>
    </row>
    <row r="43" spans="1:36">
      <c r="A43" s="190" t="s">
        <v>736</v>
      </c>
      <c r="B43" s="191" t="s">
        <v>724</v>
      </c>
      <c r="C43" s="190">
        <v>0</v>
      </c>
      <c r="D43" s="190">
        <v>0</v>
      </c>
      <c r="E43" s="200">
        <v>0</v>
      </c>
      <c r="F43" s="221"/>
      <c r="G43" s="221"/>
      <c r="H43" s="221"/>
      <c r="I43" s="193"/>
      <c r="J43" s="220"/>
      <c r="K43" s="220"/>
      <c r="L43" s="220"/>
      <c r="M43" s="220"/>
      <c r="N43" s="220"/>
      <c r="O43" s="220"/>
      <c r="P43" s="220"/>
      <c r="Q43" s="220"/>
      <c r="R43" s="220"/>
      <c r="S43" s="220"/>
      <c r="T43" s="220"/>
      <c r="U43" s="220"/>
      <c r="V43" s="220"/>
      <c r="W43" s="220"/>
      <c r="X43" s="220"/>
      <c r="Y43" s="220"/>
      <c r="Z43" s="220"/>
      <c r="AA43" s="220"/>
      <c r="AB43" s="220"/>
      <c r="AC43" s="220"/>
      <c r="AD43" s="220"/>
      <c r="AE43" s="192"/>
      <c r="AF43" s="192"/>
      <c r="AG43" s="222"/>
      <c r="AI43" s="197"/>
    </row>
    <row r="44" spans="1:36">
      <c r="A44" s="190" t="s">
        <v>736</v>
      </c>
      <c r="B44" s="191" t="s">
        <v>725</v>
      </c>
      <c r="C44" s="190">
        <v>0</v>
      </c>
      <c r="D44" s="190">
        <v>0</v>
      </c>
      <c r="E44" s="200">
        <v>0</v>
      </c>
      <c r="F44" s="221"/>
      <c r="G44" s="221"/>
      <c r="H44" s="221"/>
      <c r="I44" s="221"/>
      <c r="J44" s="193"/>
      <c r="K44" s="220"/>
      <c r="L44" s="220"/>
      <c r="M44" s="220"/>
      <c r="N44" s="220"/>
      <c r="O44" s="220"/>
      <c r="P44" s="220"/>
      <c r="Q44" s="220"/>
      <c r="R44" s="220"/>
      <c r="S44" s="220"/>
      <c r="T44" s="220"/>
      <c r="U44" s="220"/>
      <c r="V44" s="220"/>
      <c r="W44" s="220"/>
      <c r="X44" s="220"/>
      <c r="Y44" s="220"/>
      <c r="Z44" s="220"/>
      <c r="AA44" s="220"/>
      <c r="AB44" s="220"/>
      <c r="AC44" s="220"/>
      <c r="AD44" s="220"/>
      <c r="AE44" s="192"/>
      <c r="AF44" s="192"/>
      <c r="AG44" s="222"/>
      <c r="AI44" s="197"/>
    </row>
    <row r="45" spans="1:36">
      <c r="A45" s="190" t="s">
        <v>736</v>
      </c>
      <c r="B45" s="191" t="s">
        <v>726</v>
      </c>
      <c r="C45" s="190">
        <v>0</v>
      </c>
      <c r="D45" s="190">
        <v>0</v>
      </c>
      <c r="E45" s="200">
        <v>0</v>
      </c>
      <c r="F45" s="221"/>
      <c r="G45" s="221"/>
      <c r="H45" s="221"/>
      <c r="I45" s="221"/>
      <c r="J45" s="221"/>
      <c r="K45" s="193"/>
      <c r="L45" s="220"/>
      <c r="M45" s="220"/>
      <c r="N45" s="220"/>
      <c r="O45" s="220"/>
      <c r="P45" s="220"/>
      <c r="Q45" s="220"/>
      <c r="R45" s="220"/>
      <c r="S45" s="220"/>
      <c r="T45" s="220"/>
      <c r="U45" s="220"/>
      <c r="V45" s="220"/>
      <c r="W45" s="220"/>
      <c r="X45" s="220"/>
      <c r="Y45" s="220"/>
      <c r="Z45" s="220"/>
      <c r="AA45" s="220"/>
      <c r="AB45" s="220"/>
      <c r="AC45" s="220"/>
      <c r="AD45" s="220"/>
      <c r="AE45" s="192"/>
      <c r="AF45" s="192"/>
      <c r="AG45" s="222"/>
    </row>
    <row r="46" spans="1:36">
      <c r="A46" s="190" t="s">
        <v>736</v>
      </c>
      <c r="B46" s="191" t="s">
        <v>727</v>
      </c>
      <c r="C46" s="190">
        <v>0</v>
      </c>
      <c r="D46" s="190">
        <v>0</v>
      </c>
      <c r="E46" s="200">
        <v>0</v>
      </c>
      <c r="F46" s="221"/>
      <c r="G46" s="221"/>
      <c r="H46" s="221"/>
      <c r="I46" s="221"/>
      <c r="J46" s="221"/>
      <c r="K46" s="221"/>
      <c r="L46" s="193"/>
      <c r="M46" s="220"/>
      <c r="N46" s="220"/>
      <c r="O46" s="220"/>
      <c r="P46" s="220"/>
      <c r="Q46" s="220"/>
      <c r="R46" s="220"/>
      <c r="S46" s="220"/>
      <c r="T46" s="220"/>
      <c r="U46" s="220"/>
      <c r="V46" s="220"/>
      <c r="W46" s="220"/>
      <c r="X46" s="220"/>
      <c r="Y46" s="220"/>
      <c r="Z46" s="220"/>
      <c r="AA46" s="220"/>
      <c r="AB46" s="220"/>
      <c r="AC46" s="220"/>
      <c r="AD46" s="220"/>
      <c r="AE46" s="192"/>
      <c r="AF46" s="192"/>
      <c r="AG46" s="222"/>
    </row>
    <row r="47" spans="1:36">
      <c r="A47" s="190" t="s">
        <v>736</v>
      </c>
      <c r="B47" s="191" t="s">
        <v>728</v>
      </c>
      <c r="C47" s="190">
        <v>0</v>
      </c>
      <c r="D47" s="190">
        <v>0</v>
      </c>
      <c r="E47" s="200">
        <v>0</v>
      </c>
      <c r="F47" s="221"/>
      <c r="G47" s="221"/>
      <c r="H47" s="221"/>
      <c r="I47" s="221"/>
      <c r="J47" s="221"/>
      <c r="K47" s="221"/>
      <c r="L47" s="221"/>
      <c r="M47" s="193"/>
      <c r="N47" s="220"/>
      <c r="O47" s="220"/>
      <c r="P47" s="220"/>
      <c r="Q47" s="220"/>
      <c r="R47" s="220"/>
      <c r="S47" s="220"/>
      <c r="T47" s="220"/>
      <c r="U47" s="220"/>
      <c r="V47" s="220"/>
      <c r="W47" s="220"/>
      <c r="X47" s="220"/>
      <c r="Y47" s="220"/>
      <c r="Z47" s="220"/>
      <c r="AA47" s="220"/>
      <c r="AB47" s="220"/>
      <c r="AC47" s="220"/>
      <c r="AD47" s="220"/>
      <c r="AE47" s="192"/>
      <c r="AF47" s="192"/>
      <c r="AG47" s="222"/>
    </row>
    <row r="48" spans="1:36">
      <c r="A48" s="190" t="s">
        <v>736</v>
      </c>
      <c r="B48" s="191" t="s">
        <v>729</v>
      </c>
      <c r="C48" s="190">
        <v>0</v>
      </c>
      <c r="D48" s="190">
        <v>0</v>
      </c>
      <c r="E48" s="200">
        <v>0</v>
      </c>
      <c r="F48" s="221"/>
      <c r="G48" s="221"/>
      <c r="H48" s="221"/>
      <c r="I48" s="221"/>
      <c r="J48" s="221"/>
      <c r="K48" s="221"/>
      <c r="L48" s="221"/>
      <c r="M48" s="221"/>
      <c r="N48" s="193"/>
      <c r="O48" s="220"/>
      <c r="P48" s="220"/>
      <c r="Q48" s="220"/>
      <c r="R48" s="220"/>
      <c r="S48" s="220"/>
      <c r="T48" s="220"/>
      <c r="U48" s="220"/>
      <c r="V48" s="220"/>
      <c r="W48" s="220"/>
      <c r="X48" s="220"/>
      <c r="Y48" s="220"/>
      <c r="Z48" s="220"/>
      <c r="AA48" s="220"/>
      <c r="AB48" s="220"/>
      <c r="AC48" s="220"/>
      <c r="AD48" s="220"/>
      <c r="AE48" s="192"/>
      <c r="AF48" s="192"/>
      <c r="AG48" s="222"/>
    </row>
    <row r="49" spans="1:33">
      <c r="A49" s="190" t="s">
        <v>736</v>
      </c>
      <c r="B49" s="191" t="s">
        <v>730</v>
      </c>
      <c r="C49" s="190">
        <v>0</v>
      </c>
      <c r="D49" s="190">
        <v>0</v>
      </c>
      <c r="E49" s="200">
        <v>0</v>
      </c>
      <c r="F49" s="221"/>
      <c r="G49" s="221"/>
      <c r="H49" s="221"/>
      <c r="I49" s="221"/>
      <c r="J49" s="221"/>
      <c r="K49" s="221"/>
      <c r="L49" s="221"/>
      <c r="M49" s="221"/>
      <c r="N49" s="221"/>
      <c r="O49" s="193"/>
      <c r="P49" s="220"/>
      <c r="Q49" s="220"/>
      <c r="R49" s="220"/>
      <c r="S49" s="220"/>
      <c r="T49" s="220"/>
      <c r="U49" s="220"/>
      <c r="V49" s="220"/>
      <c r="W49" s="220"/>
      <c r="X49" s="220"/>
      <c r="Y49" s="220"/>
      <c r="Z49" s="220"/>
      <c r="AA49" s="220"/>
      <c r="AB49" s="220"/>
      <c r="AC49" s="220"/>
      <c r="AD49" s="220"/>
      <c r="AE49" s="192"/>
      <c r="AF49" s="192"/>
      <c r="AG49" s="222"/>
    </row>
    <row r="50" spans="1:33">
      <c r="A50" s="190" t="s">
        <v>736</v>
      </c>
      <c r="B50" s="191" t="s">
        <v>731</v>
      </c>
      <c r="C50" s="190">
        <v>0</v>
      </c>
      <c r="D50" s="190">
        <v>0</v>
      </c>
      <c r="E50" s="200">
        <v>0</v>
      </c>
      <c r="F50" s="221"/>
      <c r="G50" s="221"/>
      <c r="H50" s="221"/>
      <c r="I50" s="221"/>
      <c r="J50" s="221"/>
      <c r="K50" s="221"/>
      <c r="L50" s="221"/>
      <c r="M50" s="221"/>
      <c r="N50" s="221"/>
      <c r="O50" s="221"/>
      <c r="P50" s="193"/>
      <c r="Q50" s="220"/>
      <c r="R50" s="220"/>
      <c r="S50" s="220"/>
      <c r="T50" s="220"/>
      <c r="U50" s="220"/>
      <c r="V50" s="220"/>
      <c r="W50" s="220"/>
      <c r="X50" s="220"/>
      <c r="Y50" s="220"/>
      <c r="Z50" s="220"/>
      <c r="AA50" s="220"/>
      <c r="AB50" s="220"/>
      <c r="AC50" s="220"/>
      <c r="AD50" s="220"/>
      <c r="AE50" s="192"/>
      <c r="AF50" s="192"/>
      <c r="AG50" s="222"/>
    </row>
    <row r="51" spans="1:33">
      <c r="A51" s="190" t="s">
        <v>736</v>
      </c>
      <c r="B51" s="191" t="s">
        <v>732</v>
      </c>
      <c r="C51" s="190">
        <v>0</v>
      </c>
      <c r="D51" s="190">
        <v>0</v>
      </c>
      <c r="E51" s="200">
        <v>0</v>
      </c>
      <c r="F51" s="221"/>
      <c r="G51" s="221"/>
      <c r="H51" s="221"/>
      <c r="I51" s="221"/>
      <c r="J51" s="221"/>
      <c r="K51" s="221"/>
      <c r="L51" s="221"/>
      <c r="M51" s="221"/>
      <c r="N51" s="221"/>
      <c r="O51" s="221"/>
      <c r="P51" s="221"/>
      <c r="Q51" s="193"/>
      <c r="R51" s="220"/>
      <c r="S51" s="220"/>
      <c r="T51" s="220"/>
      <c r="U51" s="220"/>
      <c r="V51" s="220"/>
      <c r="W51" s="220"/>
      <c r="X51" s="220"/>
      <c r="Y51" s="220"/>
      <c r="Z51" s="220"/>
      <c r="AA51" s="220"/>
      <c r="AB51" s="220"/>
      <c r="AC51" s="220"/>
      <c r="AD51" s="220"/>
      <c r="AE51" s="192"/>
      <c r="AF51" s="192"/>
      <c r="AG51" s="222"/>
    </row>
    <row r="52" spans="1:33">
      <c r="A52" s="190" t="s">
        <v>736</v>
      </c>
      <c r="B52" s="191" t="s">
        <v>733</v>
      </c>
      <c r="C52" s="190">
        <v>0</v>
      </c>
      <c r="D52" s="190">
        <v>0</v>
      </c>
      <c r="E52" s="200">
        <v>0</v>
      </c>
      <c r="F52" s="221"/>
      <c r="G52" s="221"/>
      <c r="H52" s="221"/>
      <c r="I52" s="221"/>
      <c r="J52" s="221"/>
      <c r="K52" s="221"/>
      <c r="L52" s="221"/>
      <c r="M52" s="221"/>
      <c r="N52" s="221"/>
      <c r="O52" s="221"/>
      <c r="P52" s="221"/>
      <c r="Q52" s="221"/>
      <c r="R52" s="193"/>
      <c r="S52" s="220"/>
      <c r="T52" s="220"/>
      <c r="U52" s="220"/>
      <c r="V52" s="220"/>
      <c r="W52" s="220"/>
      <c r="X52" s="220"/>
      <c r="Y52" s="220"/>
      <c r="Z52" s="220"/>
      <c r="AA52" s="220"/>
      <c r="AB52" s="220"/>
      <c r="AC52" s="220"/>
      <c r="AD52" s="220"/>
      <c r="AE52" s="192"/>
      <c r="AF52" s="192"/>
      <c r="AG52" s="222"/>
    </row>
    <row r="53" spans="1:33">
      <c r="A53" s="190" t="s">
        <v>736</v>
      </c>
      <c r="B53" s="191" t="s">
        <v>734</v>
      </c>
      <c r="C53" s="190">
        <v>0</v>
      </c>
      <c r="D53" s="190">
        <v>0</v>
      </c>
      <c r="E53" s="200">
        <v>0</v>
      </c>
      <c r="F53" s="221"/>
      <c r="G53" s="221"/>
      <c r="H53" s="221"/>
      <c r="I53" s="221"/>
      <c r="J53" s="221"/>
      <c r="K53" s="221"/>
      <c r="L53" s="221"/>
      <c r="M53" s="221"/>
      <c r="N53" s="221"/>
      <c r="O53" s="221"/>
      <c r="P53" s="221"/>
      <c r="Q53" s="221"/>
      <c r="R53" s="221"/>
      <c r="S53" s="193"/>
      <c r="T53" s="220"/>
      <c r="U53" s="220"/>
      <c r="V53" s="220"/>
      <c r="W53" s="220"/>
      <c r="X53" s="220"/>
      <c r="Y53" s="220"/>
      <c r="Z53" s="220"/>
      <c r="AA53" s="220"/>
      <c r="AB53" s="220"/>
      <c r="AC53" s="220"/>
      <c r="AD53" s="220"/>
      <c r="AE53" s="192"/>
      <c r="AF53" s="192"/>
      <c r="AG53" s="222"/>
    </row>
    <row r="54" spans="1:33">
      <c r="A54" s="190" t="s">
        <v>736</v>
      </c>
      <c r="B54" s="191" t="s">
        <v>548</v>
      </c>
      <c r="C54" s="190">
        <v>0</v>
      </c>
      <c r="D54" s="190">
        <v>0</v>
      </c>
      <c r="E54" s="200">
        <v>0</v>
      </c>
      <c r="F54" s="221"/>
      <c r="G54" s="221"/>
      <c r="H54" s="221"/>
      <c r="I54" s="221"/>
      <c r="J54" s="221"/>
      <c r="K54" s="221"/>
      <c r="L54" s="221"/>
      <c r="M54" s="221"/>
      <c r="N54" s="221"/>
      <c r="O54" s="221"/>
      <c r="P54" s="221"/>
      <c r="Q54" s="221"/>
      <c r="R54" s="221"/>
      <c r="S54" s="221"/>
      <c r="T54" s="193"/>
      <c r="U54" s="220"/>
      <c r="V54" s="220"/>
      <c r="W54" s="220"/>
      <c r="X54" s="220"/>
      <c r="Y54" s="220"/>
      <c r="Z54" s="220"/>
      <c r="AA54" s="220"/>
      <c r="AB54" s="220"/>
      <c r="AC54" s="220"/>
      <c r="AD54" s="220"/>
      <c r="AE54" s="192"/>
      <c r="AF54" s="192"/>
      <c r="AG54" s="222"/>
    </row>
    <row r="55" spans="1:33">
      <c r="A55" s="190" t="s">
        <v>736</v>
      </c>
      <c r="B55" s="191" t="s">
        <v>549</v>
      </c>
      <c r="C55" s="190">
        <v>0</v>
      </c>
      <c r="D55" s="190">
        <v>0</v>
      </c>
      <c r="E55" s="200">
        <v>0</v>
      </c>
      <c r="F55" s="221"/>
      <c r="G55" s="221"/>
      <c r="H55" s="221"/>
      <c r="I55" s="221"/>
      <c r="J55" s="221"/>
      <c r="K55" s="221"/>
      <c r="L55" s="221"/>
      <c r="M55" s="221"/>
      <c r="N55" s="221"/>
      <c r="O55" s="221"/>
      <c r="P55" s="221"/>
      <c r="Q55" s="221"/>
      <c r="R55" s="221"/>
      <c r="S55" s="221"/>
      <c r="T55" s="221"/>
      <c r="U55" s="193"/>
      <c r="V55" s="220"/>
      <c r="W55" s="220"/>
      <c r="X55" s="220"/>
      <c r="Y55" s="220"/>
      <c r="Z55" s="220"/>
      <c r="AA55" s="220"/>
      <c r="AB55" s="220"/>
      <c r="AC55" s="220"/>
      <c r="AD55" s="220"/>
      <c r="AE55" s="192"/>
      <c r="AF55" s="192"/>
      <c r="AG55" s="222"/>
    </row>
    <row r="56" spans="1:33">
      <c r="A56" s="190" t="s">
        <v>736</v>
      </c>
      <c r="B56" s="191" t="s">
        <v>550</v>
      </c>
      <c r="C56" s="190">
        <v>0</v>
      </c>
      <c r="D56" s="190">
        <v>0</v>
      </c>
      <c r="E56" s="200">
        <v>0</v>
      </c>
      <c r="F56" s="221"/>
      <c r="G56" s="221"/>
      <c r="H56" s="221"/>
      <c r="I56" s="221"/>
      <c r="J56" s="221"/>
      <c r="K56" s="221"/>
      <c r="L56" s="221"/>
      <c r="M56" s="221"/>
      <c r="N56" s="221"/>
      <c r="O56" s="221"/>
      <c r="P56" s="221"/>
      <c r="Q56" s="221"/>
      <c r="R56" s="221"/>
      <c r="S56" s="221"/>
      <c r="T56" s="221"/>
      <c r="U56" s="221"/>
      <c r="V56" s="193"/>
      <c r="W56" s="220"/>
      <c r="X56" s="220"/>
      <c r="Y56" s="220"/>
      <c r="Z56" s="220"/>
      <c r="AA56" s="220"/>
      <c r="AB56" s="220"/>
      <c r="AC56" s="220"/>
      <c r="AD56" s="220"/>
      <c r="AE56" s="192"/>
      <c r="AF56" s="192"/>
      <c r="AG56" s="222"/>
    </row>
    <row r="57" spans="1:33">
      <c r="A57" s="190" t="s">
        <v>736</v>
      </c>
      <c r="B57" s="191" t="s">
        <v>551</v>
      </c>
      <c r="C57" s="190">
        <v>0</v>
      </c>
      <c r="D57" s="190">
        <v>0</v>
      </c>
      <c r="E57" s="200">
        <v>0</v>
      </c>
      <c r="F57" s="221"/>
      <c r="G57" s="221"/>
      <c r="H57" s="221"/>
      <c r="I57" s="221"/>
      <c r="J57" s="221"/>
      <c r="K57" s="221"/>
      <c r="L57" s="221"/>
      <c r="M57" s="221"/>
      <c r="N57" s="221"/>
      <c r="O57" s="221"/>
      <c r="P57" s="221"/>
      <c r="Q57" s="221"/>
      <c r="R57" s="221"/>
      <c r="S57" s="221"/>
      <c r="T57" s="221"/>
      <c r="U57" s="221"/>
      <c r="V57" s="221"/>
      <c r="W57" s="193"/>
      <c r="X57" s="220"/>
      <c r="Y57" s="220"/>
      <c r="Z57" s="220"/>
      <c r="AA57" s="220"/>
      <c r="AB57" s="220"/>
      <c r="AC57" s="220"/>
      <c r="AD57" s="220"/>
      <c r="AE57" s="192"/>
      <c r="AF57" s="192"/>
      <c r="AG57" s="222"/>
    </row>
    <row r="58" spans="1:33">
      <c r="A58" s="190" t="s">
        <v>736</v>
      </c>
      <c r="B58" s="191" t="s">
        <v>552</v>
      </c>
      <c r="C58" s="190">
        <v>0</v>
      </c>
      <c r="D58" s="190">
        <v>0</v>
      </c>
      <c r="E58" s="200">
        <v>0</v>
      </c>
      <c r="F58" s="221"/>
      <c r="G58" s="221"/>
      <c r="H58" s="221"/>
      <c r="I58" s="221"/>
      <c r="J58" s="221"/>
      <c r="K58" s="221"/>
      <c r="L58" s="221"/>
      <c r="M58" s="221"/>
      <c r="N58" s="221"/>
      <c r="O58" s="221"/>
      <c r="P58" s="221"/>
      <c r="Q58" s="221"/>
      <c r="R58" s="221"/>
      <c r="S58" s="221"/>
      <c r="T58" s="221"/>
      <c r="U58" s="221"/>
      <c r="V58" s="221"/>
      <c r="W58" s="221"/>
      <c r="X58" s="193"/>
      <c r="Y58" s="220"/>
      <c r="Z58" s="220"/>
      <c r="AA58" s="220"/>
      <c r="AB58" s="220"/>
      <c r="AC58" s="220"/>
      <c r="AD58" s="220"/>
      <c r="AE58" s="192"/>
      <c r="AF58" s="192"/>
      <c r="AG58" s="222"/>
    </row>
    <row r="59" spans="1:33">
      <c r="A59" s="190" t="s">
        <v>736</v>
      </c>
      <c r="B59" s="191" t="s">
        <v>553</v>
      </c>
      <c r="C59" s="190">
        <v>0</v>
      </c>
      <c r="D59" s="190">
        <v>0</v>
      </c>
      <c r="E59" s="200">
        <v>0</v>
      </c>
      <c r="F59" s="221"/>
      <c r="G59" s="221"/>
      <c r="H59" s="221"/>
      <c r="I59" s="221"/>
      <c r="J59" s="221"/>
      <c r="K59" s="221"/>
      <c r="L59" s="221"/>
      <c r="M59" s="221"/>
      <c r="N59" s="221"/>
      <c r="O59" s="221"/>
      <c r="P59" s="221"/>
      <c r="Q59" s="221"/>
      <c r="R59" s="221"/>
      <c r="S59" s="221"/>
      <c r="T59" s="221"/>
      <c r="U59" s="221"/>
      <c r="V59" s="221"/>
      <c r="W59" s="221"/>
      <c r="X59" s="221"/>
      <c r="Y59" s="193"/>
      <c r="Z59" s="220"/>
      <c r="AA59" s="220"/>
      <c r="AB59" s="220"/>
      <c r="AC59" s="220"/>
      <c r="AD59" s="220"/>
      <c r="AE59" s="192"/>
      <c r="AF59" s="192"/>
      <c r="AG59" s="222"/>
    </row>
    <row r="60" spans="1:33">
      <c r="A60" s="190" t="s">
        <v>736</v>
      </c>
      <c r="B60" t="s">
        <v>634</v>
      </c>
      <c r="C60" s="190">
        <v>0</v>
      </c>
      <c r="D60" s="190">
        <v>0</v>
      </c>
      <c r="E60" s="200">
        <v>0</v>
      </c>
      <c r="F60" s="221"/>
      <c r="G60" s="221"/>
      <c r="H60" s="221"/>
      <c r="I60" s="221"/>
      <c r="J60" s="221"/>
      <c r="K60" s="221"/>
      <c r="L60" s="221"/>
      <c r="M60" s="221"/>
      <c r="N60" s="221"/>
      <c r="O60" s="221"/>
      <c r="P60" s="221"/>
      <c r="Q60" s="221"/>
      <c r="R60" s="221"/>
      <c r="S60" s="221"/>
      <c r="T60" s="221"/>
      <c r="U60" s="221"/>
      <c r="V60" s="221"/>
      <c r="W60" s="221"/>
      <c r="X60" s="221"/>
      <c r="Y60" s="221"/>
      <c r="Z60" s="193"/>
      <c r="AA60" s="220"/>
      <c r="AB60" s="220"/>
      <c r="AC60" s="220"/>
      <c r="AD60" s="220"/>
      <c r="AE60" s="192"/>
      <c r="AF60" s="192"/>
      <c r="AG60" s="222"/>
    </row>
    <row r="61" spans="1:33">
      <c r="A61" s="190" t="s">
        <v>736</v>
      </c>
      <c r="B61" t="s">
        <v>635</v>
      </c>
      <c r="C61" s="190">
        <v>0</v>
      </c>
      <c r="D61" s="190">
        <v>0</v>
      </c>
      <c r="E61" s="200">
        <v>0</v>
      </c>
      <c r="F61" s="221"/>
      <c r="G61" s="221"/>
      <c r="H61" s="221"/>
      <c r="I61" s="221"/>
      <c r="J61" s="221"/>
      <c r="K61" s="221"/>
      <c r="L61" s="221"/>
      <c r="M61" s="221"/>
      <c r="N61" s="221"/>
      <c r="O61" s="221"/>
      <c r="P61" s="221"/>
      <c r="Q61" s="221"/>
      <c r="R61" s="221"/>
      <c r="S61" s="221"/>
      <c r="T61" s="221"/>
      <c r="U61" s="221"/>
      <c r="V61" s="221"/>
      <c r="W61" s="221"/>
      <c r="X61" s="221"/>
      <c r="Y61" s="221"/>
      <c r="Z61" s="221"/>
      <c r="AA61" s="193"/>
      <c r="AB61" s="220"/>
      <c r="AC61" s="220"/>
      <c r="AD61" s="220"/>
      <c r="AE61" s="192"/>
      <c r="AF61" s="192"/>
      <c r="AG61" s="222"/>
    </row>
    <row r="62" spans="1:33">
      <c r="A62" s="190" t="s">
        <v>736</v>
      </c>
      <c r="B62" t="s">
        <v>636</v>
      </c>
      <c r="C62" s="190">
        <v>0</v>
      </c>
      <c r="D62" s="190">
        <v>0</v>
      </c>
      <c r="E62" s="200">
        <v>0</v>
      </c>
      <c r="F62" s="221"/>
      <c r="G62" s="221"/>
      <c r="H62" s="221"/>
      <c r="I62" s="221"/>
      <c r="J62" s="221"/>
      <c r="K62" s="221"/>
      <c r="L62" s="221"/>
      <c r="M62" s="221"/>
      <c r="N62" s="221"/>
      <c r="O62" s="221"/>
      <c r="P62" s="221"/>
      <c r="Q62" s="221"/>
      <c r="R62" s="221"/>
      <c r="S62" s="221"/>
      <c r="T62" s="221"/>
      <c r="U62" s="221"/>
      <c r="V62" s="221"/>
      <c r="W62" s="221"/>
      <c r="X62" s="221"/>
      <c r="Y62" s="221"/>
      <c r="Z62" s="221"/>
      <c r="AA62" s="221"/>
      <c r="AB62" s="193"/>
      <c r="AC62" s="220"/>
      <c r="AD62" s="220"/>
      <c r="AE62" s="192"/>
      <c r="AF62" s="192"/>
      <c r="AG62" s="222"/>
    </row>
    <row r="63" spans="1:33">
      <c r="A63" s="190" t="s">
        <v>736</v>
      </c>
      <c r="B63" t="s">
        <v>637</v>
      </c>
      <c r="C63" s="190">
        <v>0</v>
      </c>
      <c r="D63" s="190">
        <v>0</v>
      </c>
      <c r="E63" s="200">
        <v>0</v>
      </c>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193"/>
      <c r="AD63" s="220"/>
      <c r="AE63" s="192"/>
      <c r="AF63" s="192"/>
      <c r="AG63" s="222"/>
    </row>
    <row r="64" spans="1:33">
      <c r="A64" s="190" t="s">
        <v>736</v>
      </c>
      <c r="B64" t="s">
        <v>638</v>
      </c>
      <c r="C64" s="190">
        <v>0</v>
      </c>
      <c r="D64" s="190">
        <v>0</v>
      </c>
      <c r="E64" s="200">
        <v>0</v>
      </c>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193"/>
      <c r="AE64" s="192"/>
      <c r="AF64" s="192"/>
      <c r="AG64" s="222"/>
    </row>
    <row r="65" spans="1:33">
      <c r="A65" s="194"/>
      <c r="B65" s="195" t="s">
        <v>219</v>
      </c>
      <c r="C65" s="201"/>
      <c r="D65" s="201"/>
      <c r="E65" s="201"/>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201"/>
      <c r="AF65" s="201"/>
      <c r="AG65" s="201"/>
    </row>
    <row r="66" spans="1:33">
      <c r="C66" s="203"/>
    </row>
    <row r="68" spans="1:33" s="204" customFormat="1">
      <c r="A68" s="184"/>
      <c r="B68" s="202"/>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row>
    <row r="69" spans="1:33">
      <c r="B69" s="185" t="s">
        <v>739</v>
      </c>
      <c r="K69" s="218" t="s">
        <v>52</v>
      </c>
    </row>
    <row r="70" spans="1:33" ht="26.45">
      <c r="A70" s="186"/>
      <c r="B70" s="187" t="s">
        <v>713</v>
      </c>
      <c r="C70" s="865" t="s">
        <v>738</v>
      </c>
      <c r="D70" s="865" t="s">
        <v>715</v>
      </c>
      <c r="E70" s="865" t="s">
        <v>716</v>
      </c>
      <c r="F70" s="867" t="s">
        <v>717</v>
      </c>
      <c r="G70" s="868"/>
      <c r="H70" s="868"/>
      <c r="I70" s="868"/>
      <c r="J70" s="868"/>
      <c r="K70" s="868"/>
      <c r="L70" s="868"/>
      <c r="M70" s="868"/>
      <c r="N70" s="868"/>
      <c r="O70" s="868"/>
      <c r="P70" s="868"/>
      <c r="Q70" s="868"/>
      <c r="R70" s="868"/>
      <c r="S70" s="868"/>
      <c r="T70" s="868"/>
      <c r="U70" s="868"/>
      <c r="V70" s="868"/>
      <c r="W70" s="868"/>
      <c r="X70" s="868"/>
      <c r="Y70" s="868"/>
      <c r="Z70" s="868"/>
      <c r="AA70" s="868"/>
      <c r="AB70" s="868"/>
      <c r="AC70" s="868"/>
      <c r="AD70" s="869"/>
      <c r="AE70" s="219" t="s">
        <v>718</v>
      </c>
      <c r="AF70" s="219" t="s">
        <v>719</v>
      </c>
      <c r="AG70" s="219" t="s">
        <v>720</v>
      </c>
    </row>
    <row r="71" spans="1:33">
      <c r="A71" s="186"/>
      <c r="B71" s="187"/>
      <c r="C71" s="866"/>
      <c r="D71" s="866"/>
      <c r="E71" s="866"/>
      <c r="F71" s="189" t="s">
        <v>721</v>
      </c>
      <c r="G71" s="189" t="s">
        <v>722</v>
      </c>
      <c r="H71" s="189" t="s">
        <v>723</v>
      </c>
      <c r="I71" s="189" t="s">
        <v>724</v>
      </c>
      <c r="J71" s="189" t="s">
        <v>725</v>
      </c>
      <c r="K71" s="189" t="s">
        <v>726</v>
      </c>
      <c r="L71" s="189" t="s">
        <v>727</v>
      </c>
      <c r="M71" s="189" t="s">
        <v>728</v>
      </c>
      <c r="N71" s="189" t="s">
        <v>729</v>
      </c>
      <c r="O71" s="189" t="s">
        <v>730</v>
      </c>
      <c r="P71" s="189" t="s">
        <v>731</v>
      </c>
      <c r="Q71" s="189" t="s">
        <v>732</v>
      </c>
      <c r="R71" s="189" t="s">
        <v>733</v>
      </c>
      <c r="S71" s="189" t="s">
        <v>734</v>
      </c>
      <c r="T71" s="189" t="s">
        <v>548</v>
      </c>
      <c r="U71" s="189" t="s">
        <v>549</v>
      </c>
      <c r="V71" s="189" t="s">
        <v>550</v>
      </c>
      <c r="W71" s="189" t="s">
        <v>551</v>
      </c>
      <c r="X71" s="189" t="s">
        <v>552</v>
      </c>
      <c r="Y71" s="189" t="s">
        <v>101</v>
      </c>
      <c r="Z71" s="189" t="s">
        <v>56</v>
      </c>
      <c r="AA71" s="189" t="s">
        <v>57</v>
      </c>
      <c r="AB71" s="189" t="s">
        <v>58</v>
      </c>
      <c r="AC71" s="189" t="s">
        <v>59</v>
      </c>
      <c r="AD71" s="189" t="s">
        <v>60</v>
      </c>
      <c r="AE71" s="219"/>
      <c r="AF71" s="219"/>
      <c r="AG71" s="219"/>
    </row>
    <row r="72" spans="1:33">
      <c r="A72" s="190" t="s">
        <v>735</v>
      </c>
      <c r="B72" s="191">
        <v>2005</v>
      </c>
      <c r="C72" s="205">
        <v>0</v>
      </c>
      <c r="D72" s="205">
        <v>0</v>
      </c>
      <c r="E72" s="200">
        <v>0</v>
      </c>
      <c r="F72" s="192"/>
      <c r="G72" s="192"/>
      <c r="H72" s="192"/>
      <c r="I72" s="192"/>
      <c r="J72" s="192"/>
      <c r="K72" s="220"/>
      <c r="L72" s="220"/>
      <c r="M72" s="220"/>
      <c r="N72" s="220"/>
      <c r="O72" s="220"/>
      <c r="P72" s="220"/>
      <c r="Q72" s="220"/>
      <c r="R72" s="220"/>
      <c r="S72" s="220"/>
      <c r="T72" s="220"/>
      <c r="U72" s="220"/>
      <c r="V72" s="220"/>
      <c r="W72" s="220"/>
      <c r="X72" s="220"/>
      <c r="Y72" s="220"/>
      <c r="Z72" s="220"/>
      <c r="AA72" s="220"/>
      <c r="AB72" s="220"/>
      <c r="AC72" s="220"/>
      <c r="AD72" s="220"/>
      <c r="AE72" s="222"/>
      <c r="AF72" s="222"/>
      <c r="AG72" s="222"/>
    </row>
    <row r="73" spans="1:33">
      <c r="A73" s="190" t="s">
        <v>736</v>
      </c>
      <c r="B73" s="191" t="s">
        <v>721</v>
      </c>
      <c r="C73" s="205">
        <v>0</v>
      </c>
      <c r="D73" s="205">
        <v>0</v>
      </c>
      <c r="E73" s="200">
        <v>0</v>
      </c>
      <c r="F73" s="193"/>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2"/>
      <c r="AF73" s="222"/>
      <c r="AG73" s="222"/>
    </row>
    <row r="74" spans="1:33">
      <c r="A74" s="190" t="s">
        <v>736</v>
      </c>
      <c r="B74" s="191" t="s">
        <v>722</v>
      </c>
      <c r="C74" s="205">
        <v>0</v>
      </c>
      <c r="D74" s="205">
        <v>0</v>
      </c>
      <c r="E74" s="200">
        <v>0</v>
      </c>
      <c r="F74" s="221"/>
      <c r="G74" s="193"/>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2"/>
      <c r="AF74" s="222"/>
      <c r="AG74" s="222"/>
    </row>
    <row r="75" spans="1:33">
      <c r="A75" s="190" t="s">
        <v>736</v>
      </c>
      <c r="B75" s="191" t="s">
        <v>723</v>
      </c>
      <c r="C75" s="205">
        <v>0</v>
      </c>
      <c r="D75" s="205">
        <v>0</v>
      </c>
      <c r="E75" s="200">
        <v>0</v>
      </c>
      <c r="F75" s="221"/>
      <c r="G75" s="221"/>
      <c r="H75" s="193"/>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2"/>
      <c r="AF75" s="222"/>
      <c r="AG75" s="222"/>
    </row>
    <row r="76" spans="1:33">
      <c r="A76" s="190" t="s">
        <v>736</v>
      </c>
      <c r="B76" s="191" t="s">
        <v>724</v>
      </c>
      <c r="C76" s="205">
        <v>0</v>
      </c>
      <c r="D76" s="205">
        <v>0</v>
      </c>
      <c r="E76" s="200">
        <v>0</v>
      </c>
      <c r="F76" s="221"/>
      <c r="G76" s="221"/>
      <c r="H76" s="221"/>
      <c r="I76" s="193"/>
      <c r="J76" s="220"/>
      <c r="K76" s="220"/>
      <c r="L76" s="220"/>
      <c r="M76" s="220"/>
      <c r="N76" s="220"/>
      <c r="O76" s="220"/>
      <c r="P76" s="220"/>
      <c r="Q76" s="220"/>
      <c r="R76" s="220"/>
      <c r="S76" s="220"/>
      <c r="T76" s="220"/>
      <c r="U76" s="220"/>
      <c r="V76" s="220"/>
      <c r="W76" s="220"/>
      <c r="X76" s="220"/>
      <c r="Y76" s="220"/>
      <c r="Z76" s="220"/>
      <c r="AA76" s="220"/>
      <c r="AB76" s="220"/>
      <c r="AC76" s="220"/>
      <c r="AD76" s="220"/>
      <c r="AE76" s="222"/>
      <c r="AF76" s="222"/>
      <c r="AG76" s="222"/>
    </row>
    <row r="77" spans="1:33">
      <c r="A77" s="190" t="s">
        <v>736</v>
      </c>
      <c r="B77" s="191" t="s">
        <v>725</v>
      </c>
      <c r="C77" s="205">
        <v>0</v>
      </c>
      <c r="D77" s="205">
        <v>0</v>
      </c>
      <c r="E77" s="200">
        <v>0</v>
      </c>
      <c r="F77" s="221"/>
      <c r="G77" s="221"/>
      <c r="H77" s="221"/>
      <c r="I77" s="221"/>
      <c r="J77" s="193"/>
      <c r="K77" s="220"/>
      <c r="L77" s="220"/>
      <c r="M77" s="220"/>
      <c r="N77" s="220"/>
      <c r="O77" s="220"/>
      <c r="P77" s="220"/>
      <c r="Q77" s="220"/>
      <c r="R77" s="220"/>
      <c r="S77" s="220"/>
      <c r="T77" s="220"/>
      <c r="U77" s="220"/>
      <c r="V77" s="220"/>
      <c r="W77" s="220"/>
      <c r="X77" s="220"/>
      <c r="Y77" s="220"/>
      <c r="Z77" s="220"/>
      <c r="AA77" s="220"/>
      <c r="AB77" s="220"/>
      <c r="AC77" s="220"/>
      <c r="AD77" s="220"/>
      <c r="AE77" s="222"/>
      <c r="AF77" s="222"/>
      <c r="AG77" s="222"/>
    </row>
    <row r="78" spans="1:33">
      <c r="A78" s="190" t="s">
        <v>736</v>
      </c>
      <c r="B78" s="191" t="s">
        <v>726</v>
      </c>
      <c r="C78" s="205">
        <v>0</v>
      </c>
      <c r="D78" s="205">
        <v>0</v>
      </c>
      <c r="E78" s="200">
        <v>0</v>
      </c>
      <c r="F78" s="221"/>
      <c r="G78" s="221"/>
      <c r="H78" s="221"/>
      <c r="I78" s="221"/>
      <c r="J78" s="221"/>
      <c r="K78" s="193"/>
      <c r="L78" s="220"/>
      <c r="M78" s="220"/>
      <c r="N78" s="220"/>
      <c r="O78" s="220"/>
      <c r="P78" s="220"/>
      <c r="Q78" s="220"/>
      <c r="R78" s="220"/>
      <c r="S78" s="220"/>
      <c r="T78" s="220"/>
      <c r="U78" s="220"/>
      <c r="V78" s="220"/>
      <c r="W78" s="220"/>
      <c r="X78" s="220"/>
      <c r="Y78" s="220"/>
      <c r="Z78" s="220"/>
      <c r="AA78" s="220"/>
      <c r="AB78" s="220"/>
      <c r="AC78" s="220"/>
      <c r="AD78" s="220"/>
      <c r="AE78" s="222"/>
      <c r="AF78" s="222"/>
      <c r="AG78" s="222"/>
    </row>
    <row r="79" spans="1:33">
      <c r="A79" s="190" t="s">
        <v>736</v>
      </c>
      <c r="B79" s="191" t="s">
        <v>727</v>
      </c>
      <c r="C79" s="205">
        <v>0</v>
      </c>
      <c r="D79" s="205">
        <v>0</v>
      </c>
      <c r="E79" s="200">
        <v>0</v>
      </c>
      <c r="F79" s="221"/>
      <c r="G79" s="221"/>
      <c r="H79" s="221"/>
      <c r="I79" s="221"/>
      <c r="J79" s="221"/>
      <c r="K79" s="221"/>
      <c r="L79" s="193"/>
      <c r="M79" s="220"/>
      <c r="N79" s="220"/>
      <c r="O79" s="220"/>
      <c r="P79" s="220"/>
      <c r="Q79" s="220"/>
      <c r="R79" s="220"/>
      <c r="S79" s="220"/>
      <c r="T79" s="220"/>
      <c r="U79" s="220"/>
      <c r="V79" s="220"/>
      <c r="W79" s="220"/>
      <c r="X79" s="220"/>
      <c r="Y79" s="220"/>
      <c r="Z79" s="220"/>
      <c r="AA79" s="220"/>
      <c r="AB79" s="220"/>
      <c r="AC79" s="220"/>
      <c r="AD79" s="220"/>
      <c r="AE79" s="222"/>
      <c r="AF79" s="222"/>
      <c r="AG79" s="222"/>
    </row>
    <row r="80" spans="1:33">
      <c r="A80" s="190" t="s">
        <v>736</v>
      </c>
      <c r="B80" s="191" t="s">
        <v>728</v>
      </c>
      <c r="C80" s="205">
        <v>0</v>
      </c>
      <c r="D80" s="205">
        <v>0</v>
      </c>
      <c r="E80" s="200">
        <v>0</v>
      </c>
      <c r="F80" s="221"/>
      <c r="G80" s="221"/>
      <c r="H80" s="221"/>
      <c r="I80" s="221"/>
      <c r="J80" s="221"/>
      <c r="K80" s="221"/>
      <c r="L80" s="221"/>
      <c r="M80" s="193"/>
      <c r="N80" s="220"/>
      <c r="O80" s="220"/>
      <c r="P80" s="220"/>
      <c r="Q80" s="220"/>
      <c r="R80" s="220"/>
      <c r="S80" s="220"/>
      <c r="T80" s="220"/>
      <c r="U80" s="220"/>
      <c r="V80" s="220"/>
      <c r="W80" s="220"/>
      <c r="X80" s="220"/>
      <c r="Y80" s="220"/>
      <c r="Z80" s="220"/>
      <c r="AA80" s="220"/>
      <c r="AB80" s="220"/>
      <c r="AC80" s="220"/>
      <c r="AD80" s="220"/>
      <c r="AE80" s="222"/>
      <c r="AF80" s="222"/>
      <c r="AG80" s="222"/>
    </row>
    <row r="81" spans="1:33">
      <c r="A81" s="190" t="s">
        <v>736</v>
      </c>
      <c r="B81" s="191" t="s">
        <v>729</v>
      </c>
      <c r="C81" s="205">
        <v>0</v>
      </c>
      <c r="D81" s="205">
        <v>0</v>
      </c>
      <c r="E81" s="200">
        <v>0</v>
      </c>
      <c r="F81" s="221"/>
      <c r="G81" s="221"/>
      <c r="H81" s="221"/>
      <c r="I81" s="221"/>
      <c r="J81" s="221"/>
      <c r="K81" s="221"/>
      <c r="L81" s="221"/>
      <c r="M81" s="221"/>
      <c r="N81" s="193"/>
      <c r="O81" s="220"/>
      <c r="P81" s="220"/>
      <c r="Q81" s="220"/>
      <c r="R81" s="220"/>
      <c r="S81" s="220"/>
      <c r="T81" s="220"/>
      <c r="U81" s="220"/>
      <c r="V81" s="220"/>
      <c r="W81" s="220"/>
      <c r="X81" s="220"/>
      <c r="Y81" s="220"/>
      <c r="Z81" s="220"/>
      <c r="AA81" s="220"/>
      <c r="AB81" s="220"/>
      <c r="AC81" s="220"/>
      <c r="AD81" s="220"/>
      <c r="AE81" s="222"/>
      <c r="AF81" s="222"/>
      <c r="AG81" s="222"/>
    </row>
    <row r="82" spans="1:33">
      <c r="A82" s="190" t="s">
        <v>736</v>
      </c>
      <c r="B82" s="191" t="s">
        <v>730</v>
      </c>
      <c r="C82" s="205">
        <v>0</v>
      </c>
      <c r="D82" s="205">
        <v>0</v>
      </c>
      <c r="E82" s="200">
        <v>0</v>
      </c>
      <c r="F82" s="221"/>
      <c r="G82" s="221"/>
      <c r="H82" s="221"/>
      <c r="I82" s="221"/>
      <c r="J82" s="221"/>
      <c r="K82" s="221"/>
      <c r="L82" s="221"/>
      <c r="M82" s="221"/>
      <c r="N82" s="221"/>
      <c r="O82" s="193"/>
      <c r="P82" s="220"/>
      <c r="Q82" s="220"/>
      <c r="R82" s="220"/>
      <c r="S82" s="220"/>
      <c r="T82" s="220"/>
      <c r="U82" s="220"/>
      <c r="V82" s="220"/>
      <c r="W82" s="220"/>
      <c r="X82" s="220"/>
      <c r="Y82" s="220"/>
      <c r="Z82" s="220"/>
      <c r="AA82" s="220"/>
      <c r="AB82" s="220"/>
      <c r="AC82" s="220"/>
      <c r="AD82" s="220"/>
      <c r="AE82" s="222"/>
      <c r="AF82" s="222"/>
      <c r="AG82" s="222"/>
    </row>
    <row r="83" spans="1:33">
      <c r="A83" s="190" t="s">
        <v>736</v>
      </c>
      <c r="B83" s="191" t="s">
        <v>731</v>
      </c>
      <c r="C83" s="205">
        <v>0</v>
      </c>
      <c r="D83" s="205">
        <v>0</v>
      </c>
      <c r="E83" s="200">
        <v>0</v>
      </c>
      <c r="F83" s="221"/>
      <c r="G83" s="221"/>
      <c r="H83" s="221"/>
      <c r="I83" s="221"/>
      <c r="J83" s="221"/>
      <c r="K83" s="221"/>
      <c r="L83" s="221"/>
      <c r="M83" s="221"/>
      <c r="N83" s="221"/>
      <c r="O83" s="221"/>
      <c r="P83" s="193"/>
      <c r="Q83" s="220"/>
      <c r="R83" s="220"/>
      <c r="S83" s="220"/>
      <c r="T83" s="220"/>
      <c r="U83" s="220"/>
      <c r="V83" s="220"/>
      <c r="W83" s="220"/>
      <c r="X83" s="220"/>
      <c r="Y83" s="220"/>
      <c r="Z83" s="220"/>
      <c r="AA83" s="220"/>
      <c r="AB83" s="220"/>
      <c r="AC83" s="220"/>
      <c r="AD83" s="220"/>
      <c r="AE83" s="222"/>
      <c r="AF83" s="222"/>
      <c r="AG83" s="222"/>
    </row>
    <row r="84" spans="1:33">
      <c r="A84" s="190" t="s">
        <v>736</v>
      </c>
      <c r="B84" s="191" t="s">
        <v>732</v>
      </c>
      <c r="C84" s="205">
        <v>0</v>
      </c>
      <c r="D84" s="205">
        <v>0</v>
      </c>
      <c r="E84" s="200">
        <v>0</v>
      </c>
      <c r="F84" s="221"/>
      <c r="G84" s="221"/>
      <c r="H84" s="221"/>
      <c r="I84" s="221"/>
      <c r="J84" s="221"/>
      <c r="K84" s="221"/>
      <c r="L84" s="221"/>
      <c r="M84" s="221"/>
      <c r="N84" s="221"/>
      <c r="O84" s="221"/>
      <c r="P84" s="221"/>
      <c r="Q84" s="193"/>
      <c r="R84" s="220"/>
      <c r="S84" s="220"/>
      <c r="T84" s="220"/>
      <c r="U84" s="220"/>
      <c r="V84" s="220"/>
      <c r="W84" s="220"/>
      <c r="X84" s="220"/>
      <c r="Y84" s="220"/>
      <c r="Z84" s="220"/>
      <c r="AA84" s="220"/>
      <c r="AB84" s="220"/>
      <c r="AC84" s="220"/>
      <c r="AD84" s="220"/>
      <c r="AE84" s="222"/>
      <c r="AF84" s="222"/>
      <c r="AG84" s="222"/>
    </row>
    <row r="85" spans="1:33">
      <c r="A85" s="190" t="s">
        <v>736</v>
      </c>
      <c r="B85" s="191" t="s">
        <v>733</v>
      </c>
      <c r="C85" s="205">
        <v>0</v>
      </c>
      <c r="D85" s="205">
        <v>0</v>
      </c>
      <c r="E85" s="200">
        <v>0</v>
      </c>
      <c r="F85" s="221"/>
      <c r="G85" s="221"/>
      <c r="H85" s="221"/>
      <c r="I85" s="221"/>
      <c r="J85" s="221"/>
      <c r="K85" s="221"/>
      <c r="L85" s="221"/>
      <c r="M85" s="221"/>
      <c r="N85" s="221"/>
      <c r="O85" s="221"/>
      <c r="P85" s="221"/>
      <c r="Q85" s="221"/>
      <c r="R85" s="193"/>
      <c r="S85" s="220"/>
      <c r="T85" s="220"/>
      <c r="U85" s="220"/>
      <c r="V85" s="220"/>
      <c r="W85" s="220"/>
      <c r="X85" s="220"/>
      <c r="Y85" s="220"/>
      <c r="Z85" s="220"/>
      <c r="AA85" s="220"/>
      <c r="AB85" s="220"/>
      <c r="AC85" s="220"/>
      <c r="AD85" s="220"/>
      <c r="AE85" s="222"/>
      <c r="AF85" s="222"/>
      <c r="AG85" s="222"/>
    </row>
    <row r="86" spans="1:33">
      <c r="A86" s="190" t="s">
        <v>736</v>
      </c>
      <c r="B86" s="191" t="s">
        <v>734</v>
      </c>
      <c r="C86" s="205">
        <v>0</v>
      </c>
      <c r="D86" s="205">
        <v>0</v>
      </c>
      <c r="E86" s="200">
        <v>0</v>
      </c>
      <c r="F86" s="221"/>
      <c r="G86" s="221"/>
      <c r="H86" s="221"/>
      <c r="I86" s="221"/>
      <c r="J86" s="221"/>
      <c r="K86" s="221"/>
      <c r="L86" s="221"/>
      <c r="M86" s="221"/>
      <c r="N86" s="221"/>
      <c r="O86" s="221"/>
      <c r="P86" s="221"/>
      <c r="Q86" s="221"/>
      <c r="R86" s="221"/>
      <c r="S86" s="193"/>
      <c r="T86" s="220"/>
      <c r="U86" s="220"/>
      <c r="V86" s="220"/>
      <c r="W86" s="220"/>
      <c r="X86" s="220"/>
      <c r="Y86" s="220"/>
      <c r="Z86" s="220"/>
      <c r="AA86" s="220"/>
      <c r="AB86" s="220"/>
      <c r="AC86" s="220"/>
      <c r="AD86" s="220"/>
      <c r="AE86" s="222"/>
      <c r="AF86" s="222"/>
      <c r="AG86" s="222"/>
    </row>
    <row r="87" spans="1:33">
      <c r="A87" s="190" t="s">
        <v>736</v>
      </c>
      <c r="B87" s="191" t="s">
        <v>548</v>
      </c>
      <c r="C87" s="205">
        <v>0</v>
      </c>
      <c r="D87" s="205">
        <v>0</v>
      </c>
      <c r="E87" s="200">
        <v>0</v>
      </c>
      <c r="F87" s="221"/>
      <c r="G87" s="221"/>
      <c r="H87" s="221"/>
      <c r="I87" s="221"/>
      <c r="J87" s="221"/>
      <c r="K87" s="221"/>
      <c r="L87" s="221"/>
      <c r="M87" s="221"/>
      <c r="N87" s="221"/>
      <c r="O87" s="221"/>
      <c r="P87" s="221"/>
      <c r="Q87" s="221"/>
      <c r="R87" s="221"/>
      <c r="S87" s="221"/>
      <c r="T87" s="193"/>
      <c r="U87" s="220"/>
      <c r="V87" s="220"/>
      <c r="W87" s="220"/>
      <c r="X87" s="220"/>
      <c r="Y87" s="220"/>
      <c r="Z87" s="220"/>
      <c r="AA87" s="220"/>
      <c r="AB87" s="220"/>
      <c r="AC87" s="220"/>
      <c r="AD87" s="220"/>
      <c r="AE87" s="222"/>
      <c r="AF87" s="222"/>
      <c r="AG87" s="222"/>
    </row>
    <row r="88" spans="1:33">
      <c r="A88" s="190" t="s">
        <v>736</v>
      </c>
      <c r="B88" s="191" t="s">
        <v>549</v>
      </c>
      <c r="C88" s="205">
        <v>0</v>
      </c>
      <c r="D88" s="205">
        <v>0</v>
      </c>
      <c r="E88" s="200">
        <v>0</v>
      </c>
      <c r="F88" s="221"/>
      <c r="G88" s="221"/>
      <c r="H88" s="221"/>
      <c r="I88" s="221"/>
      <c r="J88" s="221"/>
      <c r="K88" s="221"/>
      <c r="L88" s="221"/>
      <c r="M88" s="221"/>
      <c r="N88" s="221"/>
      <c r="O88" s="221"/>
      <c r="P88" s="221"/>
      <c r="Q88" s="221"/>
      <c r="R88" s="221"/>
      <c r="S88" s="221"/>
      <c r="T88" s="221"/>
      <c r="U88" s="193"/>
      <c r="V88" s="220"/>
      <c r="W88" s="220"/>
      <c r="X88" s="220"/>
      <c r="Y88" s="220"/>
      <c r="Z88" s="220"/>
      <c r="AA88" s="220"/>
      <c r="AB88" s="220"/>
      <c r="AC88" s="220"/>
      <c r="AD88" s="220"/>
      <c r="AE88" s="222"/>
      <c r="AF88" s="222"/>
      <c r="AG88" s="222"/>
    </row>
    <row r="89" spans="1:33">
      <c r="A89" s="190" t="s">
        <v>736</v>
      </c>
      <c r="B89" s="191" t="s">
        <v>550</v>
      </c>
      <c r="C89" s="205">
        <v>0</v>
      </c>
      <c r="D89" s="205">
        <v>0</v>
      </c>
      <c r="E89" s="200">
        <v>0</v>
      </c>
      <c r="F89" s="221"/>
      <c r="G89" s="221"/>
      <c r="H89" s="221"/>
      <c r="I89" s="221"/>
      <c r="J89" s="221"/>
      <c r="K89" s="221"/>
      <c r="L89" s="221"/>
      <c r="M89" s="221"/>
      <c r="N89" s="221"/>
      <c r="O89" s="221"/>
      <c r="P89" s="221"/>
      <c r="Q89" s="221"/>
      <c r="R89" s="221"/>
      <c r="S89" s="221"/>
      <c r="T89" s="221"/>
      <c r="U89" s="221"/>
      <c r="V89" s="193"/>
      <c r="W89" s="220"/>
      <c r="X89" s="220"/>
      <c r="Y89" s="220"/>
      <c r="Z89" s="220"/>
      <c r="AA89" s="220"/>
      <c r="AB89" s="220"/>
      <c r="AC89" s="220"/>
      <c r="AD89" s="220"/>
      <c r="AE89" s="222"/>
      <c r="AF89" s="222"/>
      <c r="AG89" s="222"/>
    </row>
    <row r="90" spans="1:33">
      <c r="A90" s="190" t="s">
        <v>736</v>
      </c>
      <c r="B90" s="191" t="s">
        <v>551</v>
      </c>
      <c r="C90" s="205">
        <v>0</v>
      </c>
      <c r="D90" s="205">
        <v>0</v>
      </c>
      <c r="E90" s="200">
        <v>0</v>
      </c>
      <c r="F90" s="221"/>
      <c r="G90" s="221"/>
      <c r="H90" s="221"/>
      <c r="I90" s="221"/>
      <c r="J90" s="221"/>
      <c r="K90" s="221"/>
      <c r="L90" s="221"/>
      <c r="M90" s="221"/>
      <c r="N90" s="221"/>
      <c r="O90" s="221"/>
      <c r="P90" s="221"/>
      <c r="Q90" s="221"/>
      <c r="R90" s="221"/>
      <c r="S90" s="221"/>
      <c r="T90" s="221"/>
      <c r="U90" s="221"/>
      <c r="V90" s="221"/>
      <c r="W90" s="193"/>
      <c r="X90" s="220"/>
      <c r="Y90" s="220"/>
      <c r="Z90" s="220"/>
      <c r="AA90" s="220"/>
      <c r="AB90" s="220"/>
      <c r="AC90" s="220"/>
      <c r="AD90" s="220"/>
      <c r="AE90" s="222"/>
      <c r="AF90" s="222"/>
      <c r="AG90" s="222"/>
    </row>
    <row r="91" spans="1:33">
      <c r="A91" s="190" t="s">
        <v>736</v>
      </c>
      <c r="B91" s="191" t="s">
        <v>552</v>
      </c>
      <c r="C91" s="205">
        <v>0</v>
      </c>
      <c r="D91" s="205">
        <v>0</v>
      </c>
      <c r="E91" s="200">
        <v>0</v>
      </c>
      <c r="F91" s="221"/>
      <c r="G91" s="221"/>
      <c r="H91" s="221"/>
      <c r="I91" s="221"/>
      <c r="J91" s="221"/>
      <c r="K91" s="221"/>
      <c r="L91" s="221"/>
      <c r="M91" s="221"/>
      <c r="N91" s="221"/>
      <c r="O91" s="221"/>
      <c r="P91" s="221"/>
      <c r="Q91" s="221"/>
      <c r="R91" s="221"/>
      <c r="S91" s="221"/>
      <c r="T91" s="221"/>
      <c r="U91" s="221"/>
      <c r="V91" s="221"/>
      <c r="W91" s="221"/>
      <c r="X91" s="193"/>
      <c r="Y91" s="220"/>
      <c r="Z91" s="220"/>
      <c r="AA91" s="220"/>
      <c r="AB91" s="220"/>
      <c r="AC91" s="220"/>
      <c r="AD91" s="220"/>
      <c r="AE91" s="222"/>
      <c r="AF91" s="222"/>
      <c r="AG91" s="222"/>
    </row>
    <row r="92" spans="1:33">
      <c r="A92" s="190" t="s">
        <v>736</v>
      </c>
      <c r="B92" s="191" t="s">
        <v>553</v>
      </c>
      <c r="C92" s="205">
        <v>0</v>
      </c>
      <c r="D92" s="205">
        <v>0</v>
      </c>
      <c r="E92" s="200">
        <v>0</v>
      </c>
      <c r="F92" s="221"/>
      <c r="G92" s="221"/>
      <c r="H92" s="221"/>
      <c r="I92" s="221"/>
      <c r="J92" s="221"/>
      <c r="K92" s="221"/>
      <c r="L92" s="221"/>
      <c r="M92" s="221"/>
      <c r="N92" s="221"/>
      <c r="O92" s="221"/>
      <c r="P92" s="221"/>
      <c r="Q92" s="221"/>
      <c r="R92" s="221"/>
      <c r="S92" s="221"/>
      <c r="T92" s="221"/>
      <c r="U92" s="221"/>
      <c r="V92" s="221"/>
      <c r="W92" s="221"/>
      <c r="X92" s="221"/>
      <c r="Y92" s="193"/>
      <c r="Z92" s="220"/>
      <c r="AA92" s="220"/>
      <c r="AB92" s="220"/>
      <c r="AC92" s="220"/>
      <c r="AD92" s="220"/>
      <c r="AE92" s="222"/>
      <c r="AF92" s="222"/>
      <c r="AG92" s="222"/>
    </row>
    <row r="93" spans="1:33">
      <c r="A93" s="190" t="s">
        <v>736</v>
      </c>
      <c r="B93" t="s">
        <v>634</v>
      </c>
      <c r="C93" s="205">
        <v>0</v>
      </c>
      <c r="D93" s="205">
        <v>0</v>
      </c>
      <c r="E93" s="200">
        <v>0</v>
      </c>
      <c r="F93" s="221"/>
      <c r="G93" s="221"/>
      <c r="H93" s="221"/>
      <c r="I93" s="221"/>
      <c r="J93" s="221"/>
      <c r="K93" s="221"/>
      <c r="L93" s="221"/>
      <c r="M93" s="221"/>
      <c r="N93" s="221"/>
      <c r="O93" s="221"/>
      <c r="P93" s="221"/>
      <c r="Q93" s="221"/>
      <c r="R93" s="221"/>
      <c r="S93" s="221"/>
      <c r="T93" s="221"/>
      <c r="U93" s="221"/>
      <c r="V93" s="221"/>
      <c r="W93" s="221"/>
      <c r="X93" s="221"/>
      <c r="Y93" s="221"/>
      <c r="Z93" s="193"/>
      <c r="AA93" s="220"/>
      <c r="AB93" s="220"/>
      <c r="AC93" s="220"/>
      <c r="AD93" s="220"/>
      <c r="AE93" s="222"/>
      <c r="AF93" s="222"/>
      <c r="AG93" s="222"/>
    </row>
    <row r="94" spans="1:33">
      <c r="A94" s="190" t="s">
        <v>736</v>
      </c>
      <c r="B94" t="s">
        <v>635</v>
      </c>
      <c r="C94" s="205">
        <v>0</v>
      </c>
      <c r="D94" s="205">
        <v>0</v>
      </c>
      <c r="E94" s="200">
        <v>0</v>
      </c>
      <c r="F94" s="221"/>
      <c r="G94" s="221"/>
      <c r="H94" s="221"/>
      <c r="I94" s="221"/>
      <c r="J94" s="221"/>
      <c r="K94" s="221"/>
      <c r="L94" s="221"/>
      <c r="M94" s="221"/>
      <c r="N94" s="221"/>
      <c r="O94" s="221"/>
      <c r="P94" s="221"/>
      <c r="Q94" s="221"/>
      <c r="R94" s="221"/>
      <c r="S94" s="221"/>
      <c r="T94" s="221"/>
      <c r="U94" s="221"/>
      <c r="V94" s="221"/>
      <c r="W94" s="221"/>
      <c r="X94" s="221"/>
      <c r="Y94" s="221"/>
      <c r="Z94" s="221"/>
      <c r="AA94" s="193"/>
      <c r="AB94" s="220"/>
      <c r="AC94" s="220"/>
      <c r="AD94" s="220"/>
      <c r="AE94" s="222"/>
      <c r="AF94" s="222"/>
      <c r="AG94" s="222"/>
    </row>
    <row r="95" spans="1:33">
      <c r="A95" s="190" t="s">
        <v>736</v>
      </c>
      <c r="B95" t="s">
        <v>636</v>
      </c>
      <c r="C95" s="205">
        <v>0</v>
      </c>
      <c r="D95" s="205">
        <v>0</v>
      </c>
      <c r="E95" s="200">
        <v>0</v>
      </c>
      <c r="F95" s="221"/>
      <c r="G95" s="221"/>
      <c r="H95" s="221"/>
      <c r="I95" s="221"/>
      <c r="J95" s="221"/>
      <c r="K95" s="221"/>
      <c r="L95" s="221"/>
      <c r="M95" s="221"/>
      <c r="N95" s="221"/>
      <c r="O95" s="221"/>
      <c r="P95" s="221"/>
      <c r="Q95" s="221"/>
      <c r="R95" s="221"/>
      <c r="S95" s="221"/>
      <c r="T95" s="221"/>
      <c r="U95" s="221"/>
      <c r="V95" s="221"/>
      <c r="W95" s="221"/>
      <c r="X95" s="221"/>
      <c r="Y95" s="221"/>
      <c r="Z95" s="221"/>
      <c r="AA95" s="221"/>
      <c r="AB95" s="193"/>
      <c r="AC95" s="220"/>
      <c r="AD95" s="220"/>
      <c r="AE95" s="222"/>
      <c r="AF95" s="222"/>
      <c r="AG95" s="222"/>
    </row>
    <row r="96" spans="1:33">
      <c r="A96" s="190" t="s">
        <v>736</v>
      </c>
      <c r="B96" t="s">
        <v>637</v>
      </c>
      <c r="C96" s="205">
        <v>0</v>
      </c>
      <c r="D96" s="205">
        <v>0</v>
      </c>
      <c r="E96" s="200">
        <v>0</v>
      </c>
      <c r="F96" s="221"/>
      <c r="G96" s="221"/>
      <c r="H96" s="221"/>
      <c r="I96" s="221"/>
      <c r="J96" s="221"/>
      <c r="K96" s="221"/>
      <c r="L96" s="221"/>
      <c r="M96" s="221"/>
      <c r="N96" s="221"/>
      <c r="O96" s="221"/>
      <c r="P96" s="221"/>
      <c r="Q96" s="221"/>
      <c r="R96" s="221"/>
      <c r="S96" s="221"/>
      <c r="T96" s="221"/>
      <c r="U96" s="221"/>
      <c r="V96" s="221"/>
      <c r="W96" s="221"/>
      <c r="X96" s="221"/>
      <c r="Y96" s="221"/>
      <c r="Z96" s="221"/>
      <c r="AA96" s="221"/>
      <c r="AB96" s="221"/>
      <c r="AC96" s="193"/>
      <c r="AD96" s="220"/>
      <c r="AE96" s="222"/>
      <c r="AF96" s="222"/>
      <c r="AG96" s="222"/>
    </row>
    <row r="97" spans="1:33">
      <c r="A97" s="190" t="s">
        <v>736</v>
      </c>
      <c r="B97" t="s">
        <v>638</v>
      </c>
      <c r="C97" s="205">
        <v>0</v>
      </c>
      <c r="D97" s="205">
        <v>0</v>
      </c>
      <c r="E97" s="200">
        <v>0</v>
      </c>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193"/>
      <c r="AE97" s="222"/>
      <c r="AF97" s="222"/>
      <c r="AG97" s="222"/>
    </row>
    <row r="98" spans="1:33">
      <c r="A98" s="194"/>
      <c r="B98" s="195" t="s">
        <v>219</v>
      </c>
      <c r="C98" s="196"/>
      <c r="D98" s="196"/>
      <c r="E98" s="201"/>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row>
    <row r="102" spans="1:33">
      <c r="B102" s="185" t="s">
        <v>740</v>
      </c>
      <c r="K102" s="218" t="s">
        <v>52</v>
      </c>
    </row>
    <row r="103" spans="1:33" ht="26.45">
      <c r="A103" s="186"/>
      <c r="B103" s="187" t="s">
        <v>713</v>
      </c>
      <c r="C103" s="865" t="s">
        <v>738</v>
      </c>
      <c r="D103" s="865" t="s">
        <v>715</v>
      </c>
      <c r="E103" s="865" t="s">
        <v>716</v>
      </c>
      <c r="F103" s="867" t="s">
        <v>717</v>
      </c>
      <c r="G103" s="868"/>
      <c r="H103" s="868"/>
      <c r="I103" s="868"/>
      <c r="J103" s="868"/>
      <c r="K103" s="868"/>
      <c r="L103" s="868"/>
      <c r="M103" s="868"/>
      <c r="N103" s="868"/>
      <c r="O103" s="868"/>
      <c r="P103" s="868"/>
      <c r="Q103" s="868"/>
      <c r="R103" s="868"/>
      <c r="S103" s="868"/>
      <c r="T103" s="868"/>
      <c r="U103" s="868"/>
      <c r="V103" s="868"/>
      <c r="W103" s="868"/>
      <c r="X103" s="868"/>
      <c r="Y103" s="868"/>
      <c r="Z103" s="868"/>
      <c r="AA103" s="868"/>
      <c r="AB103" s="868"/>
      <c r="AC103" s="868"/>
      <c r="AD103" s="869"/>
      <c r="AE103" s="219" t="s">
        <v>718</v>
      </c>
      <c r="AF103" s="219" t="s">
        <v>719</v>
      </c>
      <c r="AG103" s="219" t="s">
        <v>720</v>
      </c>
    </row>
    <row r="104" spans="1:33">
      <c r="A104" s="186"/>
      <c r="B104" s="187"/>
      <c r="C104" s="866"/>
      <c r="D104" s="866"/>
      <c r="E104" s="866"/>
      <c r="F104" s="189" t="s">
        <v>721</v>
      </c>
      <c r="G104" s="189" t="s">
        <v>722</v>
      </c>
      <c r="H104" s="189" t="s">
        <v>723</v>
      </c>
      <c r="I104" s="189" t="s">
        <v>724</v>
      </c>
      <c r="J104" s="189" t="s">
        <v>725</v>
      </c>
      <c r="K104" s="189" t="s">
        <v>726</v>
      </c>
      <c r="L104" s="189" t="s">
        <v>727</v>
      </c>
      <c r="M104" s="189" t="s">
        <v>728</v>
      </c>
      <c r="N104" s="189" t="s">
        <v>729</v>
      </c>
      <c r="O104" s="189" t="s">
        <v>730</v>
      </c>
      <c r="P104" s="189" t="s">
        <v>731</v>
      </c>
      <c r="Q104" s="189" t="s">
        <v>732</v>
      </c>
      <c r="R104" s="189" t="s">
        <v>733</v>
      </c>
      <c r="S104" s="189" t="s">
        <v>734</v>
      </c>
      <c r="T104" s="189" t="s">
        <v>548</v>
      </c>
      <c r="U104" s="189" t="s">
        <v>549</v>
      </c>
      <c r="V104" s="189" t="s">
        <v>550</v>
      </c>
      <c r="W104" s="189" t="s">
        <v>551</v>
      </c>
      <c r="X104" s="189" t="s">
        <v>552</v>
      </c>
      <c r="Y104" s="189" t="s">
        <v>101</v>
      </c>
      <c r="Z104" s="189" t="s">
        <v>56</v>
      </c>
      <c r="AA104" s="189" t="s">
        <v>57</v>
      </c>
      <c r="AB104" s="189" t="s">
        <v>58</v>
      </c>
      <c r="AC104" s="189" t="s">
        <v>59</v>
      </c>
      <c r="AD104" s="189" t="s">
        <v>60</v>
      </c>
      <c r="AE104" s="219"/>
      <c r="AF104" s="219"/>
      <c r="AG104" s="219"/>
    </row>
    <row r="105" spans="1:33">
      <c r="A105" s="190" t="s">
        <v>735</v>
      </c>
      <c r="B105" s="191">
        <v>2005</v>
      </c>
      <c r="C105" s="190">
        <v>0</v>
      </c>
      <c r="D105" s="190">
        <v>0</v>
      </c>
      <c r="E105" s="200">
        <v>0</v>
      </c>
      <c r="F105" s="192"/>
      <c r="G105" s="192"/>
      <c r="H105" s="192"/>
      <c r="I105" s="192"/>
      <c r="J105" s="192"/>
      <c r="K105" s="220"/>
      <c r="L105" s="220"/>
      <c r="M105" s="220"/>
      <c r="N105" s="220"/>
      <c r="O105" s="220"/>
      <c r="P105" s="220"/>
      <c r="Q105" s="220"/>
      <c r="R105" s="220"/>
      <c r="S105" s="220"/>
      <c r="T105" s="220"/>
      <c r="U105" s="220"/>
      <c r="V105" s="220"/>
      <c r="W105" s="220"/>
      <c r="X105" s="220"/>
      <c r="Y105" s="220"/>
      <c r="Z105" s="220"/>
      <c r="AA105" s="220"/>
      <c r="AB105" s="220"/>
      <c r="AC105" s="220"/>
      <c r="AD105" s="220"/>
      <c r="AE105" s="222"/>
      <c r="AF105" s="222"/>
      <c r="AG105" s="222"/>
    </row>
    <row r="106" spans="1:33">
      <c r="A106" s="190" t="s">
        <v>736</v>
      </c>
      <c r="B106" s="191" t="s">
        <v>721</v>
      </c>
      <c r="C106" s="190">
        <v>0</v>
      </c>
      <c r="D106" s="190">
        <v>0</v>
      </c>
      <c r="E106" s="200">
        <v>0</v>
      </c>
      <c r="F106" s="193"/>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222"/>
      <c r="AF106" s="222"/>
      <c r="AG106" s="222"/>
    </row>
    <row r="107" spans="1:33">
      <c r="A107" s="190" t="s">
        <v>736</v>
      </c>
      <c r="B107" s="191" t="s">
        <v>722</v>
      </c>
      <c r="C107" s="190">
        <v>0</v>
      </c>
      <c r="D107" s="190">
        <v>0</v>
      </c>
      <c r="E107" s="200">
        <v>0</v>
      </c>
      <c r="F107" s="221"/>
      <c r="G107" s="193"/>
      <c r="H107" s="220"/>
      <c r="I107" s="220"/>
      <c r="J107" s="220"/>
      <c r="K107" s="220"/>
      <c r="L107" s="220"/>
      <c r="M107" s="220"/>
      <c r="N107" s="220"/>
      <c r="O107" s="220"/>
      <c r="P107" s="220"/>
      <c r="Q107" s="220"/>
      <c r="R107" s="220"/>
      <c r="S107" s="220"/>
      <c r="T107" s="220"/>
      <c r="U107" s="220"/>
      <c r="V107" s="220"/>
      <c r="W107" s="220"/>
      <c r="X107" s="220"/>
      <c r="Y107" s="220"/>
      <c r="Z107" s="220"/>
      <c r="AA107" s="220"/>
      <c r="AB107" s="220"/>
      <c r="AC107" s="220"/>
      <c r="AD107" s="220"/>
      <c r="AE107" s="222"/>
      <c r="AF107" s="222"/>
      <c r="AG107" s="222"/>
    </row>
    <row r="108" spans="1:33">
      <c r="A108" s="190" t="s">
        <v>736</v>
      </c>
      <c r="B108" s="191" t="s">
        <v>723</v>
      </c>
      <c r="C108" s="190">
        <v>0</v>
      </c>
      <c r="D108" s="190">
        <v>0</v>
      </c>
      <c r="E108" s="200">
        <v>0</v>
      </c>
      <c r="F108" s="221"/>
      <c r="G108" s="221"/>
      <c r="H108" s="193"/>
      <c r="I108" s="220"/>
      <c r="J108" s="220"/>
      <c r="K108" s="220"/>
      <c r="L108" s="220"/>
      <c r="M108" s="220"/>
      <c r="N108" s="220"/>
      <c r="O108" s="220"/>
      <c r="P108" s="220"/>
      <c r="Q108" s="220"/>
      <c r="R108" s="220"/>
      <c r="S108" s="220"/>
      <c r="T108" s="220"/>
      <c r="U108" s="220"/>
      <c r="V108" s="220"/>
      <c r="W108" s="220"/>
      <c r="X108" s="220"/>
      <c r="Y108" s="220"/>
      <c r="Z108" s="220"/>
      <c r="AA108" s="220"/>
      <c r="AB108" s="220"/>
      <c r="AC108" s="220"/>
      <c r="AD108" s="220"/>
      <c r="AE108" s="222"/>
      <c r="AF108" s="222"/>
      <c r="AG108" s="222"/>
    </row>
    <row r="109" spans="1:33">
      <c r="A109" s="190" t="s">
        <v>736</v>
      </c>
      <c r="B109" s="191" t="s">
        <v>724</v>
      </c>
      <c r="C109" s="190">
        <v>0</v>
      </c>
      <c r="D109" s="190">
        <v>0</v>
      </c>
      <c r="E109" s="200">
        <v>0</v>
      </c>
      <c r="F109" s="221"/>
      <c r="G109" s="221"/>
      <c r="H109" s="221"/>
      <c r="I109" s="193"/>
      <c r="J109" s="220"/>
      <c r="K109" s="220"/>
      <c r="L109" s="220"/>
      <c r="M109" s="220"/>
      <c r="N109" s="220"/>
      <c r="O109" s="220"/>
      <c r="P109" s="220"/>
      <c r="Q109" s="220"/>
      <c r="R109" s="220"/>
      <c r="S109" s="220"/>
      <c r="T109" s="220"/>
      <c r="U109" s="220"/>
      <c r="V109" s="220"/>
      <c r="W109" s="220"/>
      <c r="X109" s="220"/>
      <c r="Y109" s="220"/>
      <c r="Z109" s="220"/>
      <c r="AA109" s="220"/>
      <c r="AB109" s="220"/>
      <c r="AC109" s="220"/>
      <c r="AD109" s="220"/>
      <c r="AE109" s="222"/>
      <c r="AF109" s="222"/>
      <c r="AG109" s="222"/>
    </row>
    <row r="110" spans="1:33">
      <c r="A110" s="190" t="s">
        <v>736</v>
      </c>
      <c r="B110" s="191" t="s">
        <v>725</v>
      </c>
      <c r="C110" s="190">
        <v>0</v>
      </c>
      <c r="D110" s="190">
        <v>0</v>
      </c>
      <c r="E110" s="200">
        <v>0</v>
      </c>
      <c r="F110" s="221"/>
      <c r="G110" s="221"/>
      <c r="H110" s="221"/>
      <c r="I110" s="221"/>
      <c r="J110" s="193"/>
      <c r="K110" s="220"/>
      <c r="L110" s="220"/>
      <c r="M110" s="220"/>
      <c r="N110" s="220"/>
      <c r="O110" s="220"/>
      <c r="P110" s="220"/>
      <c r="Q110" s="220"/>
      <c r="R110" s="220"/>
      <c r="S110" s="220"/>
      <c r="T110" s="220"/>
      <c r="U110" s="220"/>
      <c r="V110" s="220"/>
      <c r="W110" s="220"/>
      <c r="X110" s="220"/>
      <c r="Y110" s="220"/>
      <c r="Z110" s="220"/>
      <c r="AA110" s="220"/>
      <c r="AB110" s="220"/>
      <c r="AC110" s="220"/>
      <c r="AD110" s="220"/>
      <c r="AE110" s="222"/>
      <c r="AF110" s="222"/>
      <c r="AG110" s="222"/>
    </row>
    <row r="111" spans="1:33">
      <c r="A111" s="190" t="s">
        <v>736</v>
      </c>
      <c r="B111" s="191" t="s">
        <v>726</v>
      </c>
      <c r="C111" s="190">
        <v>0</v>
      </c>
      <c r="D111" s="190">
        <v>0</v>
      </c>
      <c r="E111" s="200">
        <v>0</v>
      </c>
      <c r="F111" s="221"/>
      <c r="G111" s="221"/>
      <c r="H111" s="221"/>
      <c r="I111" s="221"/>
      <c r="J111" s="221"/>
      <c r="K111" s="193"/>
      <c r="L111" s="220"/>
      <c r="M111" s="220"/>
      <c r="N111" s="220"/>
      <c r="O111" s="220"/>
      <c r="P111" s="220"/>
      <c r="Q111" s="220"/>
      <c r="R111" s="220"/>
      <c r="S111" s="220"/>
      <c r="T111" s="220"/>
      <c r="U111" s="220"/>
      <c r="V111" s="220"/>
      <c r="W111" s="220"/>
      <c r="X111" s="220"/>
      <c r="Y111" s="220"/>
      <c r="Z111" s="220"/>
      <c r="AA111" s="220"/>
      <c r="AB111" s="220"/>
      <c r="AC111" s="220"/>
      <c r="AD111" s="220"/>
      <c r="AE111" s="222"/>
      <c r="AF111" s="222"/>
      <c r="AG111" s="222"/>
    </row>
    <row r="112" spans="1:33">
      <c r="A112" s="190" t="s">
        <v>736</v>
      </c>
      <c r="B112" s="191" t="s">
        <v>727</v>
      </c>
      <c r="C112" s="190">
        <v>0</v>
      </c>
      <c r="D112" s="190">
        <v>0</v>
      </c>
      <c r="E112" s="200">
        <v>0</v>
      </c>
      <c r="F112" s="221"/>
      <c r="G112" s="221"/>
      <c r="H112" s="221"/>
      <c r="I112" s="221"/>
      <c r="J112" s="221"/>
      <c r="K112" s="221"/>
      <c r="L112" s="193"/>
      <c r="M112" s="220"/>
      <c r="N112" s="220"/>
      <c r="O112" s="220"/>
      <c r="P112" s="220"/>
      <c r="Q112" s="220"/>
      <c r="R112" s="220"/>
      <c r="S112" s="220"/>
      <c r="T112" s="220"/>
      <c r="U112" s="220"/>
      <c r="V112" s="220"/>
      <c r="W112" s="220"/>
      <c r="X112" s="220"/>
      <c r="Y112" s="220"/>
      <c r="Z112" s="220"/>
      <c r="AA112" s="220"/>
      <c r="AB112" s="220"/>
      <c r="AC112" s="220"/>
      <c r="AD112" s="220"/>
      <c r="AE112" s="222"/>
      <c r="AF112" s="222"/>
      <c r="AG112" s="222"/>
    </row>
    <row r="113" spans="1:33">
      <c r="A113" s="190" t="s">
        <v>736</v>
      </c>
      <c r="B113" s="191" t="s">
        <v>728</v>
      </c>
      <c r="C113" s="190">
        <v>0</v>
      </c>
      <c r="D113" s="190">
        <v>0</v>
      </c>
      <c r="E113" s="200">
        <v>0</v>
      </c>
      <c r="F113" s="221"/>
      <c r="G113" s="221"/>
      <c r="H113" s="221"/>
      <c r="I113" s="221"/>
      <c r="J113" s="221"/>
      <c r="K113" s="221"/>
      <c r="L113" s="221"/>
      <c r="M113" s="193"/>
      <c r="N113" s="220"/>
      <c r="O113" s="220"/>
      <c r="P113" s="220"/>
      <c r="Q113" s="220"/>
      <c r="R113" s="220"/>
      <c r="S113" s="220"/>
      <c r="T113" s="220"/>
      <c r="U113" s="220"/>
      <c r="V113" s="220"/>
      <c r="W113" s="220"/>
      <c r="X113" s="220"/>
      <c r="Y113" s="220"/>
      <c r="Z113" s="220"/>
      <c r="AA113" s="220"/>
      <c r="AB113" s="220"/>
      <c r="AC113" s="220"/>
      <c r="AD113" s="220"/>
      <c r="AE113" s="222"/>
      <c r="AF113" s="222"/>
      <c r="AG113" s="222"/>
    </row>
    <row r="114" spans="1:33">
      <c r="A114" s="190" t="s">
        <v>736</v>
      </c>
      <c r="B114" s="191" t="s">
        <v>729</v>
      </c>
      <c r="C114" s="190">
        <v>0</v>
      </c>
      <c r="D114" s="190">
        <v>0</v>
      </c>
      <c r="E114" s="200">
        <v>0</v>
      </c>
      <c r="F114" s="221"/>
      <c r="G114" s="221"/>
      <c r="H114" s="221"/>
      <c r="I114" s="221"/>
      <c r="J114" s="221"/>
      <c r="K114" s="221"/>
      <c r="L114" s="221"/>
      <c r="M114" s="221"/>
      <c r="N114" s="193"/>
      <c r="O114" s="220"/>
      <c r="P114" s="220"/>
      <c r="Q114" s="220"/>
      <c r="R114" s="220"/>
      <c r="S114" s="220"/>
      <c r="T114" s="220"/>
      <c r="U114" s="220"/>
      <c r="V114" s="220"/>
      <c r="W114" s="220"/>
      <c r="X114" s="220"/>
      <c r="Y114" s="220"/>
      <c r="Z114" s="220"/>
      <c r="AA114" s="220"/>
      <c r="AB114" s="220"/>
      <c r="AC114" s="220"/>
      <c r="AD114" s="220"/>
      <c r="AE114" s="222"/>
      <c r="AF114" s="222"/>
      <c r="AG114" s="222"/>
    </row>
    <row r="115" spans="1:33">
      <c r="A115" s="190" t="s">
        <v>736</v>
      </c>
      <c r="B115" s="191" t="s">
        <v>730</v>
      </c>
      <c r="C115" s="190">
        <v>0</v>
      </c>
      <c r="D115" s="190">
        <v>0</v>
      </c>
      <c r="E115" s="200">
        <v>0</v>
      </c>
      <c r="F115" s="221"/>
      <c r="G115" s="221"/>
      <c r="H115" s="221"/>
      <c r="I115" s="221"/>
      <c r="J115" s="221"/>
      <c r="K115" s="221"/>
      <c r="L115" s="221"/>
      <c r="M115" s="221"/>
      <c r="N115" s="221"/>
      <c r="O115" s="193"/>
      <c r="P115" s="220"/>
      <c r="Q115" s="220"/>
      <c r="R115" s="220"/>
      <c r="S115" s="220"/>
      <c r="T115" s="220"/>
      <c r="U115" s="220"/>
      <c r="V115" s="220"/>
      <c r="W115" s="220"/>
      <c r="X115" s="220"/>
      <c r="Y115" s="220"/>
      <c r="Z115" s="220"/>
      <c r="AA115" s="220"/>
      <c r="AB115" s="220"/>
      <c r="AC115" s="220"/>
      <c r="AD115" s="220"/>
      <c r="AE115" s="222"/>
      <c r="AF115" s="222"/>
      <c r="AG115" s="222"/>
    </row>
    <row r="116" spans="1:33">
      <c r="A116" s="190" t="s">
        <v>736</v>
      </c>
      <c r="B116" s="191" t="s">
        <v>731</v>
      </c>
      <c r="C116" s="190">
        <v>0</v>
      </c>
      <c r="D116" s="190">
        <v>0</v>
      </c>
      <c r="E116" s="200">
        <v>0</v>
      </c>
      <c r="F116" s="221"/>
      <c r="G116" s="221"/>
      <c r="H116" s="221"/>
      <c r="I116" s="221"/>
      <c r="J116" s="221"/>
      <c r="K116" s="221"/>
      <c r="L116" s="221"/>
      <c r="M116" s="221"/>
      <c r="N116" s="221"/>
      <c r="O116" s="221"/>
      <c r="P116" s="193"/>
      <c r="Q116" s="220"/>
      <c r="R116" s="220"/>
      <c r="S116" s="220"/>
      <c r="T116" s="220"/>
      <c r="U116" s="220"/>
      <c r="V116" s="220"/>
      <c r="W116" s="220"/>
      <c r="X116" s="220"/>
      <c r="Y116" s="220"/>
      <c r="Z116" s="220"/>
      <c r="AA116" s="220"/>
      <c r="AB116" s="220"/>
      <c r="AC116" s="220"/>
      <c r="AD116" s="220"/>
      <c r="AE116" s="222"/>
      <c r="AF116" s="222"/>
      <c r="AG116" s="222"/>
    </row>
    <row r="117" spans="1:33">
      <c r="A117" s="190" t="s">
        <v>736</v>
      </c>
      <c r="B117" s="191" t="s">
        <v>732</v>
      </c>
      <c r="C117" s="190">
        <v>0</v>
      </c>
      <c r="D117" s="190">
        <v>0</v>
      </c>
      <c r="E117" s="200">
        <v>0</v>
      </c>
      <c r="F117" s="221"/>
      <c r="G117" s="221"/>
      <c r="H117" s="221"/>
      <c r="I117" s="221"/>
      <c r="J117" s="221"/>
      <c r="K117" s="221"/>
      <c r="L117" s="221"/>
      <c r="M117" s="221"/>
      <c r="N117" s="221"/>
      <c r="O117" s="221"/>
      <c r="P117" s="221"/>
      <c r="Q117" s="193"/>
      <c r="R117" s="220"/>
      <c r="S117" s="220"/>
      <c r="T117" s="220"/>
      <c r="U117" s="220"/>
      <c r="V117" s="220"/>
      <c r="W117" s="220"/>
      <c r="X117" s="220"/>
      <c r="Y117" s="220"/>
      <c r="Z117" s="220"/>
      <c r="AA117" s="220"/>
      <c r="AB117" s="220"/>
      <c r="AC117" s="220"/>
      <c r="AD117" s="220"/>
      <c r="AE117" s="222"/>
      <c r="AF117" s="222"/>
      <c r="AG117" s="222"/>
    </row>
    <row r="118" spans="1:33">
      <c r="A118" s="190" t="s">
        <v>736</v>
      </c>
      <c r="B118" s="191" t="s">
        <v>733</v>
      </c>
      <c r="C118" s="190">
        <v>0</v>
      </c>
      <c r="D118" s="190">
        <v>0</v>
      </c>
      <c r="E118" s="200">
        <v>0</v>
      </c>
      <c r="F118" s="221"/>
      <c r="G118" s="221"/>
      <c r="H118" s="221"/>
      <c r="I118" s="221"/>
      <c r="J118" s="221"/>
      <c r="K118" s="221"/>
      <c r="L118" s="221"/>
      <c r="M118" s="221"/>
      <c r="N118" s="221"/>
      <c r="O118" s="221"/>
      <c r="P118" s="221"/>
      <c r="Q118" s="221"/>
      <c r="R118" s="193"/>
      <c r="S118" s="220"/>
      <c r="T118" s="220"/>
      <c r="U118" s="220"/>
      <c r="V118" s="220"/>
      <c r="W118" s="220"/>
      <c r="X118" s="220"/>
      <c r="Y118" s="220"/>
      <c r="Z118" s="220"/>
      <c r="AA118" s="220"/>
      <c r="AB118" s="220"/>
      <c r="AC118" s="220"/>
      <c r="AD118" s="220"/>
      <c r="AE118" s="222"/>
      <c r="AF118" s="222"/>
      <c r="AG118" s="222"/>
    </row>
    <row r="119" spans="1:33">
      <c r="A119" s="190" t="s">
        <v>736</v>
      </c>
      <c r="B119" s="191" t="s">
        <v>734</v>
      </c>
      <c r="C119" s="190">
        <v>0</v>
      </c>
      <c r="D119" s="190">
        <v>0</v>
      </c>
      <c r="E119" s="200">
        <v>0</v>
      </c>
      <c r="F119" s="221"/>
      <c r="G119" s="221"/>
      <c r="H119" s="221"/>
      <c r="I119" s="221"/>
      <c r="J119" s="221"/>
      <c r="K119" s="221"/>
      <c r="L119" s="221"/>
      <c r="M119" s="221"/>
      <c r="N119" s="221"/>
      <c r="O119" s="221"/>
      <c r="P119" s="221"/>
      <c r="Q119" s="221"/>
      <c r="R119" s="221"/>
      <c r="S119" s="193"/>
      <c r="T119" s="220"/>
      <c r="U119" s="220"/>
      <c r="V119" s="220"/>
      <c r="W119" s="220"/>
      <c r="X119" s="220"/>
      <c r="Y119" s="220"/>
      <c r="Z119" s="220"/>
      <c r="AA119" s="220"/>
      <c r="AB119" s="220"/>
      <c r="AC119" s="220"/>
      <c r="AD119" s="220"/>
      <c r="AE119" s="222"/>
      <c r="AF119" s="222"/>
      <c r="AG119" s="222"/>
    </row>
    <row r="120" spans="1:33">
      <c r="A120" s="190" t="s">
        <v>736</v>
      </c>
      <c r="B120" s="191" t="s">
        <v>548</v>
      </c>
      <c r="C120" s="190">
        <v>0</v>
      </c>
      <c r="D120" s="190">
        <v>0</v>
      </c>
      <c r="E120" s="200">
        <v>0</v>
      </c>
      <c r="F120" s="221"/>
      <c r="G120" s="221"/>
      <c r="H120" s="221"/>
      <c r="I120" s="221"/>
      <c r="J120" s="221"/>
      <c r="K120" s="221"/>
      <c r="L120" s="221"/>
      <c r="M120" s="221"/>
      <c r="N120" s="221"/>
      <c r="O120" s="221"/>
      <c r="P120" s="221"/>
      <c r="Q120" s="221"/>
      <c r="R120" s="221"/>
      <c r="S120" s="221"/>
      <c r="T120" s="193"/>
      <c r="U120" s="220"/>
      <c r="V120" s="220"/>
      <c r="W120" s="220"/>
      <c r="X120" s="220"/>
      <c r="Y120" s="220"/>
      <c r="Z120" s="220"/>
      <c r="AA120" s="220"/>
      <c r="AB120" s="220"/>
      <c r="AC120" s="220"/>
      <c r="AD120" s="220"/>
      <c r="AE120" s="222"/>
      <c r="AF120" s="222"/>
      <c r="AG120" s="222"/>
    </row>
    <row r="121" spans="1:33">
      <c r="A121" s="190" t="s">
        <v>736</v>
      </c>
      <c r="B121" s="191" t="s">
        <v>549</v>
      </c>
      <c r="C121" s="190">
        <v>0</v>
      </c>
      <c r="D121" s="190">
        <v>0</v>
      </c>
      <c r="E121" s="200">
        <v>0</v>
      </c>
      <c r="F121" s="221"/>
      <c r="G121" s="221"/>
      <c r="H121" s="221"/>
      <c r="I121" s="221"/>
      <c r="J121" s="221"/>
      <c r="K121" s="221"/>
      <c r="L121" s="221"/>
      <c r="M121" s="221"/>
      <c r="N121" s="221"/>
      <c r="O121" s="221"/>
      <c r="P121" s="221"/>
      <c r="Q121" s="221"/>
      <c r="R121" s="221"/>
      <c r="S121" s="221"/>
      <c r="T121" s="221"/>
      <c r="U121" s="193"/>
      <c r="V121" s="220"/>
      <c r="W121" s="220"/>
      <c r="X121" s="220"/>
      <c r="Y121" s="220"/>
      <c r="Z121" s="220"/>
      <c r="AA121" s="220"/>
      <c r="AB121" s="220"/>
      <c r="AC121" s="220"/>
      <c r="AD121" s="220"/>
      <c r="AE121" s="222"/>
      <c r="AF121" s="222"/>
      <c r="AG121" s="222"/>
    </row>
    <row r="122" spans="1:33">
      <c r="A122" s="190" t="s">
        <v>736</v>
      </c>
      <c r="B122" s="191" t="s">
        <v>550</v>
      </c>
      <c r="C122" s="190">
        <v>0</v>
      </c>
      <c r="D122" s="190">
        <v>0</v>
      </c>
      <c r="E122" s="200">
        <v>0</v>
      </c>
      <c r="F122" s="221"/>
      <c r="G122" s="221"/>
      <c r="H122" s="221"/>
      <c r="I122" s="221"/>
      <c r="J122" s="221"/>
      <c r="K122" s="221"/>
      <c r="L122" s="221"/>
      <c r="M122" s="221"/>
      <c r="N122" s="221"/>
      <c r="O122" s="221"/>
      <c r="P122" s="221"/>
      <c r="Q122" s="221"/>
      <c r="R122" s="221"/>
      <c r="S122" s="221"/>
      <c r="T122" s="221"/>
      <c r="U122" s="221"/>
      <c r="V122" s="193"/>
      <c r="W122" s="220"/>
      <c r="X122" s="220"/>
      <c r="Y122" s="220"/>
      <c r="Z122" s="220"/>
      <c r="AA122" s="220"/>
      <c r="AB122" s="220"/>
      <c r="AC122" s="220"/>
      <c r="AD122" s="220"/>
      <c r="AE122" s="222"/>
      <c r="AF122" s="222"/>
      <c r="AG122" s="222"/>
    </row>
    <row r="123" spans="1:33">
      <c r="A123" s="190" t="s">
        <v>736</v>
      </c>
      <c r="B123" s="191" t="s">
        <v>551</v>
      </c>
      <c r="C123" s="190">
        <v>0</v>
      </c>
      <c r="D123" s="190">
        <v>0</v>
      </c>
      <c r="E123" s="200">
        <v>0</v>
      </c>
      <c r="F123" s="221"/>
      <c r="G123" s="221"/>
      <c r="H123" s="221"/>
      <c r="I123" s="221"/>
      <c r="J123" s="221"/>
      <c r="K123" s="221"/>
      <c r="L123" s="221"/>
      <c r="M123" s="221"/>
      <c r="N123" s="221"/>
      <c r="O123" s="221"/>
      <c r="P123" s="221"/>
      <c r="Q123" s="221"/>
      <c r="R123" s="221"/>
      <c r="S123" s="221"/>
      <c r="T123" s="221"/>
      <c r="U123" s="221"/>
      <c r="V123" s="221"/>
      <c r="W123" s="193"/>
      <c r="X123" s="220"/>
      <c r="Y123" s="220"/>
      <c r="Z123" s="220"/>
      <c r="AA123" s="220"/>
      <c r="AB123" s="220"/>
      <c r="AC123" s="220"/>
      <c r="AD123" s="220"/>
      <c r="AE123" s="222"/>
      <c r="AF123" s="222"/>
      <c r="AG123" s="222"/>
    </row>
    <row r="124" spans="1:33">
      <c r="A124" s="190" t="s">
        <v>736</v>
      </c>
      <c r="B124" s="191" t="s">
        <v>552</v>
      </c>
      <c r="C124" s="190">
        <v>0</v>
      </c>
      <c r="D124" s="190">
        <v>0</v>
      </c>
      <c r="E124" s="200">
        <v>0</v>
      </c>
      <c r="F124" s="221"/>
      <c r="G124" s="221"/>
      <c r="H124" s="221"/>
      <c r="I124" s="221"/>
      <c r="J124" s="221"/>
      <c r="K124" s="221"/>
      <c r="L124" s="221"/>
      <c r="M124" s="221"/>
      <c r="N124" s="221"/>
      <c r="O124" s="221"/>
      <c r="P124" s="221"/>
      <c r="Q124" s="221"/>
      <c r="R124" s="221"/>
      <c r="S124" s="221"/>
      <c r="T124" s="221"/>
      <c r="U124" s="221"/>
      <c r="V124" s="221"/>
      <c r="W124" s="221"/>
      <c r="X124" s="193"/>
      <c r="Y124" s="220"/>
      <c r="Z124" s="220"/>
      <c r="AA124" s="220"/>
      <c r="AB124" s="220"/>
      <c r="AC124" s="220"/>
      <c r="AD124" s="220"/>
      <c r="AE124" s="222"/>
      <c r="AF124" s="222"/>
      <c r="AG124" s="222"/>
    </row>
    <row r="125" spans="1:33">
      <c r="A125" s="190" t="s">
        <v>736</v>
      </c>
      <c r="B125" s="191" t="s">
        <v>553</v>
      </c>
      <c r="C125" s="190">
        <v>0</v>
      </c>
      <c r="D125" s="190">
        <v>0</v>
      </c>
      <c r="E125" s="200">
        <v>0</v>
      </c>
      <c r="F125" s="221"/>
      <c r="G125" s="221"/>
      <c r="H125" s="221"/>
      <c r="I125" s="221"/>
      <c r="J125" s="221"/>
      <c r="K125" s="221"/>
      <c r="L125" s="221"/>
      <c r="M125" s="221"/>
      <c r="N125" s="221"/>
      <c r="O125" s="221"/>
      <c r="P125" s="221"/>
      <c r="Q125" s="221"/>
      <c r="R125" s="221"/>
      <c r="S125" s="221"/>
      <c r="T125" s="221"/>
      <c r="U125" s="221"/>
      <c r="V125" s="221"/>
      <c r="W125" s="221"/>
      <c r="X125" s="221"/>
      <c r="Y125" s="193"/>
      <c r="Z125" s="220"/>
      <c r="AA125" s="220"/>
      <c r="AB125" s="220"/>
      <c r="AC125" s="220"/>
      <c r="AD125" s="220"/>
      <c r="AE125" s="222"/>
      <c r="AF125" s="222"/>
      <c r="AG125" s="222"/>
    </row>
    <row r="126" spans="1:33">
      <c r="A126" s="190" t="s">
        <v>736</v>
      </c>
      <c r="B126" t="s">
        <v>634</v>
      </c>
      <c r="C126" s="190">
        <v>0</v>
      </c>
      <c r="D126" s="190">
        <v>0</v>
      </c>
      <c r="E126" s="200">
        <v>0</v>
      </c>
      <c r="F126" s="221"/>
      <c r="G126" s="221"/>
      <c r="H126" s="221"/>
      <c r="I126" s="221"/>
      <c r="J126" s="221"/>
      <c r="K126" s="221"/>
      <c r="L126" s="221"/>
      <c r="M126" s="221"/>
      <c r="N126" s="221"/>
      <c r="O126" s="221"/>
      <c r="P126" s="221"/>
      <c r="Q126" s="221"/>
      <c r="R126" s="221"/>
      <c r="S126" s="221"/>
      <c r="T126" s="221"/>
      <c r="U126" s="221"/>
      <c r="V126" s="221"/>
      <c r="W126" s="221"/>
      <c r="X126" s="221"/>
      <c r="Y126" s="221"/>
      <c r="Z126" s="193"/>
      <c r="AA126" s="220"/>
      <c r="AB126" s="220"/>
      <c r="AC126" s="220"/>
      <c r="AD126" s="220"/>
      <c r="AE126" s="222"/>
      <c r="AF126" s="222"/>
      <c r="AG126" s="222"/>
    </row>
    <row r="127" spans="1:33">
      <c r="A127" s="190" t="s">
        <v>736</v>
      </c>
      <c r="B127" t="s">
        <v>635</v>
      </c>
      <c r="C127" s="190">
        <v>0</v>
      </c>
      <c r="D127" s="190">
        <v>0</v>
      </c>
      <c r="E127" s="200">
        <v>0</v>
      </c>
      <c r="F127" s="221"/>
      <c r="G127" s="221"/>
      <c r="H127" s="221"/>
      <c r="I127" s="221"/>
      <c r="J127" s="221"/>
      <c r="K127" s="221"/>
      <c r="L127" s="221"/>
      <c r="M127" s="221"/>
      <c r="N127" s="221"/>
      <c r="O127" s="221"/>
      <c r="P127" s="221"/>
      <c r="Q127" s="221"/>
      <c r="R127" s="221"/>
      <c r="S127" s="221"/>
      <c r="T127" s="221"/>
      <c r="U127" s="221"/>
      <c r="V127" s="221"/>
      <c r="W127" s="221"/>
      <c r="X127" s="221"/>
      <c r="Y127" s="221"/>
      <c r="Z127" s="221"/>
      <c r="AA127" s="193"/>
      <c r="AB127" s="220"/>
      <c r="AC127" s="220"/>
      <c r="AD127" s="220"/>
      <c r="AE127" s="222"/>
      <c r="AF127" s="222"/>
      <c r="AG127" s="222"/>
    </row>
    <row r="128" spans="1:33">
      <c r="A128" s="190" t="s">
        <v>736</v>
      </c>
      <c r="B128" t="s">
        <v>636</v>
      </c>
      <c r="C128" s="190">
        <v>0</v>
      </c>
      <c r="D128" s="190">
        <v>0</v>
      </c>
      <c r="E128" s="200">
        <v>0</v>
      </c>
      <c r="F128" s="221"/>
      <c r="G128" s="221"/>
      <c r="H128" s="221"/>
      <c r="I128" s="221"/>
      <c r="J128" s="221"/>
      <c r="K128" s="221"/>
      <c r="L128" s="221"/>
      <c r="M128" s="221"/>
      <c r="N128" s="221"/>
      <c r="O128" s="221"/>
      <c r="P128" s="221"/>
      <c r="Q128" s="221"/>
      <c r="R128" s="221"/>
      <c r="S128" s="221"/>
      <c r="T128" s="221"/>
      <c r="U128" s="221"/>
      <c r="V128" s="221"/>
      <c r="W128" s="221"/>
      <c r="X128" s="221"/>
      <c r="Y128" s="221"/>
      <c r="Z128" s="221"/>
      <c r="AA128" s="221"/>
      <c r="AB128" s="193"/>
      <c r="AC128" s="220"/>
      <c r="AD128" s="220"/>
      <c r="AE128" s="222"/>
      <c r="AF128" s="222"/>
      <c r="AG128" s="222"/>
    </row>
    <row r="129" spans="1:33">
      <c r="A129" s="190" t="s">
        <v>736</v>
      </c>
      <c r="B129" t="s">
        <v>637</v>
      </c>
      <c r="C129" s="190">
        <v>0</v>
      </c>
      <c r="D129" s="190">
        <v>0</v>
      </c>
      <c r="E129" s="200">
        <v>0</v>
      </c>
      <c r="F129" s="221"/>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193"/>
      <c r="AD129" s="220"/>
      <c r="AE129" s="222"/>
      <c r="AF129" s="222"/>
      <c r="AG129" s="222"/>
    </row>
    <row r="130" spans="1:33">
      <c r="A130" s="190" t="s">
        <v>736</v>
      </c>
      <c r="B130" t="s">
        <v>638</v>
      </c>
      <c r="C130" s="190">
        <v>0</v>
      </c>
      <c r="D130" s="190">
        <v>0</v>
      </c>
      <c r="E130" s="200">
        <v>0</v>
      </c>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193"/>
      <c r="AE130" s="222"/>
      <c r="AF130" s="222"/>
      <c r="AG130" s="222"/>
    </row>
    <row r="131" spans="1:33">
      <c r="A131" s="194"/>
      <c r="B131" s="195" t="s">
        <v>219</v>
      </c>
      <c r="C131" s="190">
        <v>0</v>
      </c>
      <c r="D131" s="190">
        <v>0</v>
      </c>
      <c r="E131" s="200">
        <v>0</v>
      </c>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row>
    <row r="132" spans="1:33">
      <c r="C132" s="203"/>
    </row>
    <row r="134" spans="1:33">
      <c r="K134" s="197"/>
    </row>
    <row r="135" spans="1:33">
      <c r="B135" s="185" t="s">
        <v>741</v>
      </c>
      <c r="K135" s="218" t="s">
        <v>52</v>
      </c>
    </row>
    <row r="136" spans="1:33" ht="26.45">
      <c r="A136" s="186"/>
      <c r="B136" s="187" t="s">
        <v>713</v>
      </c>
      <c r="C136" s="865" t="s">
        <v>738</v>
      </c>
      <c r="D136" s="865" t="s">
        <v>715</v>
      </c>
      <c r="E136" s="865" t="s">
        <v>716</v>
      </c>
      <c r="F136" s="867" t="s">
        <v>717</v>
      </c>
      <c r="G136" s="868"/>
      <c r="H136" s="868"/>
      <c r="I136" s="868"/>
      <c r="J136" s="868"/>
      <c r="K136" s="868"/>
      <c r="L136" s="868"/>
      <c r="M136" s="868"/>
      <c r="N136" s="868"/>
      <c r="O136" s="868"/>
      <c r="P136" s="868"/>
      <c r="Q136" s="868"/>
      <c r="R136" s="868"/>
      <c r="S136" s="868"/>
      <c r="T136" s="868"/>
      <c r="U136" s="868"/>
      <c r="V136" s="868"/>
      <c r="W136" s="868"/>
      <c r="X136" s="868"/>
      <c r="Y136" s="868"/>
      <c r="Z136" s="868"/>
      <c r="AA136" s="868"/>
      <c r="AB136" s="868"/>
      <c r="AC136" s="868"/>
      <c r="AD136" s="869"/>
      <c r="AE136" s="219" t="s">
        <v>718</v>
      </c>
      <c r="AF136" s="219" t="s">
        <v>719</v>
      </c>
      <c r="AG136" s="219" t="s">
        <v>720</v>
      </c>
    </row>
    <row r="137" spans="1:33">
      <c r="A137" s="186"/>
      <c r="B137" s="187"/>
      <c r="C137" s="866"/>
      <c r="D137" s="866"/>
      <c r="E137" s="866"/>
      <c r="F137" s="189" t="s">
        <v>721</v>
      </c>
      <c r="G137" s="189" t="s">
        <v>722</v>
      </c>
      <c r="H137" s="189" t="s">
        <v>723</v>
      </c>
      <c r="I137" s="189" t="s">
        <v>724</v>
      </c>
      <c r="J137" s="189" t="s">
        <v>725</v>
      </c>
      <c r="K137" s="189" t="s">
        <v>726</v>
      </c>
      <c r="L137" s="189" t="s">
        <v>727</v>
      </c>
      <c r="M137" s="189" t="s">
        <v>728</v>
      </c>
      <c r="N137" s="189" t="s">
        <v>729</v>
      </c>
      <c r="O137" s="189" t="s">
        <v>730</v>
      </c>
      <c r="P137" s="189" t="s">
        <v>731</v>
      </c>
      <c r="Q137" s="189" t="s">
        <v>732</v>
      </c>
      <c r="R137" s="189" t="s">
        <v>733</v>
      </c>
      <c r="S137" s="189" t="s">
        <v>734</v>
      </c>
      <c r="T137" s="189" t="s">
        <v>548</v>
      </c>
      <c r="U137" s="189" t="s">
        <v>549</v>
      </c>
      <c r="V137" s="189" t="s">
        <v>550</v>
      </c>
      <c r="W137" s="189" t="s">
        <v>551</v>
      </c>
      <c r="X137" s="189" t="s">
        <v>552</v>
      </c>
      <c r="Y137" s="189" t="s">
        <v>101</v>
      </c>
      <c r="Z137" s="189" t="s">
        <v>56</v>
      </c>
      <c r="AA137" s="189" t="s">
        <v>57</v>
      </c>
      <c r="AB137" s="189" t="s">
        <v>58</v>
      </c>
      <c r="AC137" s="189" t="s">
        <v>59</v>
      </c>
      <c r="AD137" s="189" t="s">
        <v>60</v>
      </c>
      <c r="AE137" s="219"/>
      <c r="AF137" s="219"/>
      <c r="AG137" s="219"/>
    </row>
    <row r="138" spans="1:33">
      <c r="A138" s="190" t="s">
        <v>735</v>
      </c>
      <c r="B138" s="191">
        <v>2005</v>
      </c>
      <c r="C138" s="190">
        <v>0</v>
      </c>
      <c r="D138" s="190">
        <v>0</v>
      </c>
      <c r="E138" s="200">
        <v>0</v>
      </c>
      <c r="F138" s="192"/>
      <c r="G138" s="192"/>
      <c r="H138" s="192"/>
      <c r="I138" s="192"/>
      <c r="J138" s="192"/>
      <c r="K138" s="220"/>
      <c r="L138" s="220"/>
      <c r="M138" s="220"/>
      <c r="N138" s="220"/>
      <c r="O138" s="220"/>
      <c r="P138" s="220"/>
      <c r="Q138" s="220"/>
      <c r="R138" s="220"/>
      <c r="S138" s="220"/>
      <c r="T138" s="220"/>
      <c r="U138" s="220"/>
      <c r="V138" s="220"/>
      <c r="W138" s="220"/>
      <c r="X138" s="220"/>
      <c r="Y138" s="220"/>
      <c r="Z138" s="220"/>
      <c r="AA138" s="220"/>
      <c r="AB138" s="220"/>
      <c r="AC138" s="220"/>
      <c r="AD138" s="220"/>
      <c r="AE138" s="222"/>
      <c r="AF138" s="222"/>
      <c r="AG138" s="222"/>
    </row>
    <row r="139" spans="1:33">
      <c r="A139" s="190" t="s">
        <v>736</v>
      </c>
      <c r="B139" s="191" t="s">
        <v>721</v>
      </c>
      <c r="C139" s="190">
        <v>0</v>
      </c>
      <c r="D139" s="190">
        <v>0</v>
      </c>
      <c r="E139" s="200">
        <v>0</v>
      </c>
      <c r="F139" s="193"/>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c r="AE139" s="222"/>
      <c r="AF139" s="222"/>
      <c r="AG139" s="222"/>
    </row>
    <row r="140" spans="1:33">
      <c r="A140" s="190" t="s">
        <v>736</v>
      </c>
      <c r="B140" s="191" t="s">
        <v>722</v>
      </c>
      <c r="C140" s="190">
        <v>0</v>
      </c>
      <c r="D140" s="190">
        <v>0</v>
      </c>
      <c r="E140" s="200">
        <v>0</v>
      </c>
      <c r="F140" s="221"/>
      <c r="G140" s="193"/>
      <c r="H140" s="220"/>
      <c r="I140" s="220"/>
      <c r="J140" s="220"/>
      <c r="K140" s="220"/>
      <c r="L140" s="220"/>
      <c r="M140" s="220"/>
      <c r="N140" s="220"/>
      <c r="O140" s="220"/>
      <c r="P140" s="220"/>
      <c r="Q140" s="220"/>
      <c r="R140" s="220"/>
      <c r="S140" s="220"/>
      <c r="T140" s="220"/>
      <c r="U140" s="220"/>
      <c r="V140" s="220"/>
      <c r="W140" s="220"/>
      <c r="X140" s="220"/>
      <c r="Y140" s="220"/>
      <c r="Z140" s="220"/>
      <c r="AA140" s="220"/>
      <c r="AB140" s="220"/>
      <c r="AC140" s="220"/>
      <c r="AD140" s="220"/>
      <c r="AE140" s="222"/>
      <c r="AF140" s="222"/>
      <c r="AG140" s="222"/>
    </row>
    <row r="141" spans="1:33">
      <c r="A141" s="190" t="s">
        <v>736</v>
      </c>
      <c r="B141" s="191" t="s">
        <v>723</v>
      </c>
      <c r="C141" s="190">
        <v>0</v>
      </c>
      <c r="D141" s="190">
        <v>0</v>
      </c>
      <c r="E141" s="200">
        <v>0</v>
      </c>
      <c r="F141" s="221"/>
      <c r="G141" s="221"/>
      <c r="H141" s="193"/>
      <c r="I141" s="220"/>
      <c r="J141" s="220"/>
      <c r="K141" s="220"/>
      <c r="L141" s="220"/>
      <c r="M141" s="220"/>
      <c r="N141" s="220"/>
      <c r="O141" s="220"/>
      <c r="P141" s="220"/>
      <c r="Q141" s="220"/>
      <c r="R141" s="220"/>
      <c r="S141" s="220"/>
      <c r="T141" s="220"/>
      <c r="U141" s="220"/>
      <c r="V141" s="220"/>
      <c r="W141" s="220"/>
      <c r="X141" s="220"/>
      <c r="Y141" s="220"/>
      <c r="Z141" s="220"/>
      <c r="AA141" s="220"/>
      <c r="AB141" s="220"/>
      <c r="AC141" s="220"/>
      <c r="AD141" s="220"/>
      <c r="AE141" s="222"/>
      <c r="AF141" s="222"/>
      <c r="AG141" s="222"/>
    </row>
    <row r="142" spans="1:33">
      <c r="A142" s="190" t="s">
        <v>736</v>
      </c>
      <c r="B142" s="191" t="s">
        <v>724</v>
      </c>
      <c r="C142" s="190">
        <v>0</v>
      </c>
      <c r="D142" s="190">
        <v>0</v>
      </c>
      <c r="E142" s="200">
        <v>0</v>
      </c>
      <c r="F142" s="221"/>
      <c r="G142" s="221"/>
      <c r="H142" s="221"/>
      <c r="I142" s="193"/>
      <c r="J142" s="220"/>
      <c r="K142" s="220"/>
      <c r="L142" s="220"/>
      <c r="M142" s="220"/>
      <c r="N142" s="220"/>
      <c r="O142" s="220"/>
      <c r="P142" s="220"/>
      <c r="Q142" s="220"/>
      <c r="R142" s="220"/>
      <c r="S142" s="220"/>
      <c r="T142" s="220"/>
      <c r="U142" s="220"/>
      <c r="V142" s="220"/>
      <c r="W142" s="220"/>
      <c r="X142" s="220"/>
      <c r="Y142" s="220"/>
      <c r="Z142" s="220"/>
      <c r="AA142" s="220"/>
      <c r="AB142" s="220"/>
      <c r="AC142" s="220"/>
      <c r="AD142" s="220"/>
      <c r="AE142" s="222"/>
      <c r="AF142" s="222"/>
      <c r="AG142" s="222"/>
    </row>
    <row r="143" spans="1:33">
      <c r="A143" s="190" t="s">
        <v>736</v>
      </c>
      <c r="B143" s="191" t="s">
        <v>725</v>
      </c>
      <c r="C143" s="190">
        <v>0</v>
      </c>
      <c r="D143" s="190">
        <v>0</v>
      </c>
      <c r="E143" s="200">
        <v>0</v>
      </c>
      <c r="F143" s="221"/>
      <c r="G143" s="221"/>
      <c r="H143" s="221"/>
      <c r="I143" s="221"/>
      <c r="J143" s="193"/>
      <c r="K143" s="220"/>
      <c r="L143" s="220"/>
      <c r="M143" s="220"/>
      <c r="N143" s="220"/>
      <c r="O143" s="220"/>
      <c r="P143" s="220"/>
      <c r="Q143" s="220"/>
      <c r="R143" s="220"/>
      <c r="S143" s="220"/>
      <c r="T143" s="220"/>
      <c r="U143" s="220"/>
      <c r="V143" s="220"/>
      <c r="W143" s="220"/>
      <c r="X143" s="220"/>
      <c r="Y143" s="220"/>
      <c r="Z143" s="220"/>
      <c r="AA143" s="220"/>
      <c r="AB143" s="220"/>
      <c r="AC143" s="220"/>
      <c r="AD143" s="220"/>
      <c r="AE143" s="222"/>
      <c r="AF143" s="222"/>
      <c r="AG143" s="222"/>
    </row>
    <row r="144" spans="1:33">
      <c r="A144" s="190" t="s">
        <v>736</v>
      </c>
      <c r="B144" s="191" t="s">
        <v>726</v>
      </c>
      <c r="C144" s="190">
        <v>0</v>
      </c>
      <c r="D144" s="190">
        <v>0</v>
      </c>
      <c r="E144" s="200">
        <v>0</v>
      </c>
      <c r="F144" s="221"/>
      <c r="G144" s="221"/>
      <c r="H144" s="221"/>
      <c r="I144" s="221"/>
      <c r="J144" s="221"/>
      <c r="K144" s="193"/>
      <c r="L144" s="220"/>
      <c r="M144" s="220"/>
      <c r="N144" s="220"/>
      <c r="O144" s="220"/>
      <c r="P144" s="220"/>
      <c r="Q144" s="220"/>
      <c r="R144" s="220"/>
      <c r="S144" s="220"/>
      <c r="T144" s="220"/>
      <c r="U144" s="220"/>
      <c r="V144" s="220"/>
      <c r="W144" s="220"/>
      <c r="X144" s="220"/>
      <c r="Y144" s="220"/>
      <c r="Z144" s="220"/>
      <c r="AA144" s="220"/>
      <c r="AB144" s="220"/>
      <c r="AC144" s="220"/>
      <c r="AD144" s="220"/>
      <c r="AE144" s="222"/>
      <c r="AF144" s="222"/>
      <c r="AG144" s="222"/>
    </row>
    <row r="145" spans="1:33">
      <c r="A145" s="190" t="s">
        <v>736</v>
      </c>
      <c r="B145" s="191" t="s">
        <v>727</v>
      </c>
      <c r="C145" s="190">
        <v>0</v>
      </c>
      <c r="D145" s="190">
        <v>0</v>
      </c>
      <c r="E145" s="200">
        <v>0</v>
      </c>
      <c r="F145" s="221"/>
      <c r="G145" s="221"/>
      <c r="H145" s="221"/>
      <c r="I145" s="221"/>
      <c r="J145" s="221"/>
      <c r="K145" s="221"/>
      <c r="L145" s="193"/>
      <c r="M145" s="220"/>
      <c r="N145" s="220"/>
      <c r="O145" s="220"/>
      <c r="P145" s="220"/>
      <c r="Q145" s="220"/>
      <c r="R145" s="220"/>
      <c r="S145" s="220"/>
      <c r="T145" s="220"/>
      <c r="U145" s="220"/>
      <c r="V145" s="220"/>
      <c r="W145" s="220"/>
      <c r="X145" s="220"/>
      <c r="Y145" s="220"/>
      <c r="Z145" s="220"/>
      <c r="AA145" s="220"/>
      <c r="AB145" s="220"/>
      <c r="AC145" s="220"/>
      <c r="AD145" s="220"/>
      <c r="AE145" s="222"/>
      <c r="AF145" s="222"/>
      <c r="AG145" s="222"/>
    </row>
    <row r="146" spans="1:33">
      <c r="A146" s="190" t="s">
        <v>736</v>
      </c>
      <c r="B146" s="191" t="s">
        <v>728</v>
      </c>
      <c r="C146" s="190">
        <v>0</v>
      </c>
      <c r="D146" s="190">
        <v>0</v>
      </c>
      <c r="E146" s="200">
        <v>0</v>
      </c>
      <c r="F146" s="221"/>
      <c r="G146" s="221"/>
      <c r="H146" s="221"/>
      <c r="I146" s="221"/>
      <c r="J146" s="221"/>
      <c r="K146" s="221"/>
      <c r="L146" s="221"/>
      <c r="M146" s="193"/>
      <c r="N146" s="220"/>
      <c r="O146" s="220"/>
      <c r="P146" s="220"/>
      <c r="Q146" s="220"/>
      <c r="R146" s="220"/>
      <c r="S146" s="220"/>
      <c r="T146" s="220"/>
      <c r="U146" s="220"/>
      <c r="V146" s="220"/>
      <c r="W146" s="220"/>
      <c r="X146" s="220"/>
      <c r="Y146" s="220"/>
      <c r="Z146" s="220"/>
      <c r="AA146" s="220"/>
      <c r="AB146" s="220"/>
      <c r="AC146" s="220"/>
      <c r="AD146" s="220"/>
      <c r="AE146" s="222"/>
      <c r="AF146" s="222"/>
      <c r="AG146" s="222"/>
    </row>
    <row r="147" spans="1:33">
      <c r="A147" s="190" t="s">
        <v>736</v>
      </c>
      <c r="B147" s="191" t="s">
        <v>729</v>
      </c>
      <c r="C147" s="190">
        <v>0</v>
      </c>
      <c r="D147" s="190">
        <v>0</v>
      </c>
      <c r="E147" s="200">
        <v>0</v>
      </c>
      <c r="F147" s="221"/>
      <c r="G147" s="221"/>
      <c r="H147" s="221"/>
      <c r="I147" s="221"/>
      <c r="J147" s="221"/>
      <c r="K147" s="221"/>
      <c r="L147" s="221"/>
      <c r="M147" s="221"/>
      <c r="N147" s="193"/>
      <c r="O147" s="220"/>
      <c r="P147" s="220"/>
      <c r="Q147" s="220"/>
      <c r="R147" s="220"/>
      <c r="S147" s="220"/>
      <c r="T147" s="220"/>
      <c r="U147" s="220"/>
      <c r="V147" s="220"/>
      <c r="W147" s="220"/>
      <c r="X147" s="220"/>
      <c r="Y147" s="220"/>
      <c r="Z147" s="220"/>
      <c r="AA147" s="220"/>
      <c r="AB147" s="220"/>
      <c r="AC147" s="220"/>
      <c r="AD147" s="220"/>
      <c r="AE147" s="222"/>
      <c r="AF147" s="222"/>
      <c r="AG147" s="222"/>
    </row>
    <row r="148" spans="1:33">
      <c r="A148" s="190" t="s">
        <v>736</v>
      </c>
      <c r="B148" s="191" t="s">
        <v>730</v>
      </c>
      <c r="C148" s="190">
        <v>0</v>
      </c>
      <c r="D148" s="190">
        <v>0</v>
      </c>
      <c r="E148" s="200">
        <v>0</v>
      </c>
      <c r="F148" s="221"/>
      <c r="G148" s="221"/>
      <c r="H148" s="221"/>
      <c r="I148" s="221"/>
      <c r="J148" s="221"/>
      <c r="K148" s="221"/>
      <c r="L148" s="221"/>
      <c r="M148" s="221"/>
      <c r="N148" s="221"/>
      <c r="O148" s="193"/>
      <c r="P148" s="220"/>
      <c r="Q148" s="220"/>
      <c r="R148" s="220"/>
      <c r="S148" s="220"/>
      <c r="T148" s="220"/>
      <c r="U148" s="220"/>
      <c r="V148" s="220"/>
      <c r="W148" s="220"/>
      <c r="X148" s="220"/>
      <c r="Y148" s="220"/>
      <c r="Z148" s="220"/>
      <c r="AA148" s="220"/>
      <c r="AB148" s="220"/>
      <c r="AC148" s="220"/>
      <c r="AD148" s="220"/>
      <c r="AE148" s="222"/>
      <c r="AF148" s="222"/>
      <c r="AG148" s="222"/>
    </row>
    <row r="149" spans="1:33">
      <c r="A149" s="190" t="s">
        <v>736</v>
      </c>
      <c r="B149" s="191" t="s">
        <v>731</v>
      </c>
      <c r="C149" s="190">
        <v>0</v>
      </c>
      <c r="D149" s="190">
        <v>0</v>
      </c>
      <c r="E149" s="200">
        <v>0</v>
      </c>
      <c r="F149" s="221"/>
      <c r="G149" s="221"/>
      <c r="H149" s="221"/>
      <c r="I149" s="221"/>
      <c r="J149" s="221"/>
      <c r="K149" s="221"/>
      <c r="L149" s="221"/>
      <c r="M149" s="221"/>
      <c r="N149" s="221"/>
      <c r="O149" s="221"/>
      <c r="P149" s="193"/>
      <c r="Q149" s="220"/>
      <c r="R149" s="220"/>
      <c r="S149" s="220"/>
      <c r="T149" s="220"/>
      <c r="U149" s="220"/>
      <c r="V149" s="220"/>
      <c r="W149" s="220"/>
      <c r="X149" s="220"/>
      <c r="Y149" s="220"/>
      <c r="Z149" s="220"/>
      <c r="AA149" s="220"/>
      <c r="AB149" s="220"/>
      <c r="AC149" s="220"/>
      <c r="AD149" s="220"/>
      <c r="AE149" s="222"/>
      <c r="AF149" s="222"/>
      <c r="AG149" s="222"/>
    </row>
    <row r="150" spans="1:33">
      <c r="A150" s="190" t="s">
        <v>736</v>
      </c>
      <c r="B150" s="191" t="s">
        <v>732</v>
      </c>
      <c r="C150" s="190">
        <v>0</v>
      </c>
      <c r="D150" s="190">
        <v>0</v>
      </c>
      <c r="E150" s="200">
        <v>0</v>
      </c>
      <c r="F150" s="221"/>
      <c r="G150" s="221"/>
      <c r="H150" s="221"/>
      <c r="I150" s="221"/>
      <c r="J150" s="221"/>
      <c r="K150" s="221"/>
      <c r="L150" s="221"/>
      <c r="M150" s="221"/>
      <c r="N150" s="221"/>
      <c r="O150" s="221"/>
      <c r="P150" s="221"/>
      <c r="Q150" s="193"/>
      <c r="R150" s="220"/>
      <c r="S150" s="220"/>
      <c r="T150" s="220"/>
      <c r="U150" s="220"/>
      <c r="V150" s="220"/>
      <c r="W150" s="220"/>
      <c r="X150" s="220"/>
      <c r="Y150" s="220"/>
      <c r="Z150" s="220"/>
      <c r="AA150" s="220"/>
      <c r="AB150" s="220"/>
      <c r="AC150" s="220"/>
      <c r="AD150" s="220"/>
      <c r="AE150" s="222"/>
      <c r="AF150" s="222"/>
      <c r="AG150" s="222"/>
    </row>
    <row r="151" spans="1:33">
      <c r="A151" s="190" t="s">
        <v>736</v>
      </c>
      <c r="B151" s="191" t="s">
        <v>733</v>
      </c>
      <c r="C151" s="190">
        <v>0</v>
      </c>
      <c r="D151" s="190">
        <v>0</v>
      </c>
      <c r="E151" s="200">
        <v>0</v>
      </c>
      <c r="F151" s="221"/>
      <c r="G151" s="221"/>
      <c r="H151" s="221"/>
      <c r="I151" s="221"/>
      <c r="J151" s="221"/>
      <c r="K151" s="221"/>
      <c r="L151" s="221"/>
      <c r="M151" s="221"/>
      <c r="N151" s="221"/>
      <c r="O151" s="221"/>
      <c r="P151" s="221"/>
      <c r="Q151" s="221"/>
      <c r="R151" s="193"/>
      <c r="S151" s="220"/>
      <c r="T151" s="220"/>
      <c r="U151" s="220"/>
      <c r="V151" s="220"/>
      <c r="W151" s="220"/>
      <c r="X151" s="220"/>
      <c r="Y151" s="220"/>
      <c r="Z151" s="220"/>
      <c r="AA151" s="220"/>
      <c r="AB151" s="220"/>
      <c r="AC151" s="220"/>
      <c r="AD151" s="220"/>
      <c r="AE151" s="222"/>
      <c r="AF151" s="222"/>
      <c r="AG151" s="222"/>
    </row>
    <row r="152" spans="1:33">
      <c r="A152" s="190" t="s">
        <v>736</v>
      </c>
      <c r="B152" s="191" t="s">
        <v>734</v>
      </c>
      <c r="C152" s="190">
        <v>0</v>
      </c>
      <c r="D152" s="190">
        <v>0</v>
      </c>
      <c r="E152" s="200">
        <v>0</v>
      </c>
      <c r="F152" s="221"/>
      <c r="G152" s="221"/>
      <c r="H152" s="221"/>
      <c r="I152" s="221"/>
      <c r="J152" s="221"/>
      <c r="K152" s="221"/>
      <c r="L152" s="221"/>
      <c r="M152" s="221"/>
      <c r="N152" s="221"/>
      <c r="O152" s="221"/>
      <c r="P152" s="221"/>
      <c r="Q152" s="221"/>
      <c r="R152" s="221"/>
      <c r="S152" s="193"/>
      <c r="T152" s="220"/>
      <c r="U152" s="220"/>
      <c r="V152" s="220"/>
      <c r="W152" s="220"/>
      <c r="X152" s="220"/>
      <c r="Y152" s="220"/>
      <c r="Z152" s="220"/>
      <c r="AA152" s="220"/>
      <c r="AB152" s="220"/>
      <c r="AC152" s="220"/>
      <c r="AD152" s="220"/>
      <c r="AE152" s="222"/>
      <c r="AF152" s="222"/>
      <c r="AG152" s="222"/>
    </row>
    <row r="153" spans="1:33">
      <c r="A153" s="190" t="s">
        <v>736</v>
      </c>
      <c r="B153" s="191" t="s">
        <v>548</v>
      </c>
      <c r="C153" s="190">
        <v>0</v>
      </c>
      <c r="D153" s="190">
        <v>0</v>
      </c>
      <c r="E153" s="200">
        <v>0</v>
      </c>
      <c r="F153" s="221"/>
      <c r="G153" s="221"/>
      <c r="H153" s="221"/>
      <c r="I153" s="221"/>
      <c r="J153" s="221"/>
      <c r="K153" s="221"/>
      <c r="L153" s="221"/>
      <c r="M153" s="221"/>
      <c r="N153" s="221"/>
      <c r="O153" s="221"/>
      <c r="P153" s="221"/>
      <c r="Q153" s="221"/>
      <c r="R153" s="221"/>
      <c r="S153" s="221"/>
      <c r="T153" s="193"/>
      <c r="U153" s="220"/>
      <c r="V153" s="220"/>
      <c r="W153" s="220"/>
      <c r="X153" s="220"/>
      <c r="Y153" s="220"/>
      <c r="Z153" s="220"/>
      <c r="AA153" s="220"/>
      <c r="AB153" s="220"/>
      <c r="AC153" s="220"/>
      <c r="AD153" s="220"/>
      <c r="AE153" s="222"/>
      <c r="AF153" s="222"/>
      <c r="AG153" s="222"/>
    </row>
    <row r="154" spans="1:33">
      <c r="A154" s="190" t="s">
        <v>736</v>
      </c>
      <c r="B154" s="191" t="s">
        <v>549</v>
      </c>
      <c r="C154" s="190">
        <v>0</v>
      </c>
      <c r="D154" s="190">
        <v>0</v>
      </c>
      <c r="E154" s="200">
        <v>0</v>
      </c>
      <c r="F154" s="221"/>
      <c r="G154" s="221"/>
      <c r="H154" s="221"/>
      <c r="I154" s="221"/>
      <c r="J154" s="221"/>
      <c r="K154" s="221"/>
      <c r="L154" s="221"/>
      <c r="M154" s="221"/>
      <c r="N154" s="221"/>
      <c r="O154" s="221"/>
      <c r="P154" s="221"/>
      <c r="Q154" s="221"/>
      <c r="R154" s="221"/>
      <c r="S154" s="221"/>
      <c r="T154" s="221"/>
      <c r="U154" s="193"/>
      <c r="V154" s="220"/>
      <c r="W154" s="220"/>
      <c r="X154" s="220"/>
      <c r="Y154" s="220"/>
      <c r="Z154" s="220"/>
      <c r="AA154" s="220"/>
      <c r="AB154" s="220"/>
      <c r="AC154" s="220"/>
      <c r="AD154" s="220"/>
      <c r="AE154" s="222"/>
      <c r="AF154" s="222"/>
      <c r="AG154" s="222"/>
    </row>
    <row r="155" spans="1:33">
      <c r="A155" s="190" t="s">
        <v>736</v>
      </c>
      <c r="B155" s="191" t="s">
        <v>550</v>
      </c>
      <c r="C155" s="190">
        <v>0</v>
      </c>
      <c r="D155" s="190">
        <v>0</v>
      </c>
      <c r="E155" s="200">
        <v>0</v>
      </c>
      <c r="F155" s="221"/>
      <c r="G155" s="221"/>
      <c r="H155" s="221"/>
      <c r="I155" s="221"/>
      <c r="J155" s="221"/>
      <c r="K155" s="221"/>
      <c r="L155" s="221"/>
      <c r="M155" s="221"/>
      <c r="N155" s="221"/>
      <c r="O155" s="221"/>
      <c r="P155" s="221"/>
      <c r="Q155" s="221"/>
      <c r="R155" s="221"/>
      <c r="S155" s="221"/>
      <c r="T155" s="221"/>
      <c r="U155" s="221"/>
      <c r="V155" s="193"/>
      <c r="W155" s="220"/>
      <c r="X155" s="220"/>
      <c r="Y155" s="220"/>
      <c r="Z155" s="220"/>
      <c r="AA155" s="220"/>
      <c r="AB155" s="220"/>
      <c r="AC155" s="220"/>
      <c r="AD155" s="220"/>
      <c r="AE155" s="222"/>
      <c r="AF155" s="222"/>
      <c r="AG155" s="222"/>
    </row>
    <row r="156" spans="1:33">
      <c r="A156" s="190" t="s">
        <v>736</v>
      </c>
      <c r="B156" s="191" t="s">
        <v>551</v>
      </c>
      <c r="C156" s="190">
        <v>0</v>
      </c>
      <c r="D156" s="190">
        <v>0</v>
      </c>
      <c r="E156" s="200">
        <v>0</v>
      </c>
      <c r="F156" s="221"/>
      <c r="G156" s="221"/>
      <c r="H156" s="221"/>
      <c r="I156" s="221"/>
      <c r="J156" s="221"/>
      <c r="K156" s="221"/>
      <c r="L156" s="221"/>
      <c r="M156" s="221"/>
      <c r="N156" s="221"/>
      <c r="O156" s="221"/>
      <c r="P156" s="221"/>
      <c r="Q156" s="221"/>
      <c r="R156" s="221"/>
      <c r="S156" s="221"/>
      <c r="T156" s="221"/>
      <c r="U156" s="221"/>
      <c r="V156" s="221"/>
      <c r="W156" s="193"/>
      <c r="X156" s="220"/>
      <c r="Y156" s="220"/>
      <c r="Z156" s="220"/>
      <c r="AA156" s="220"/>
      <c r="AB156" s="220"/>
      <c r="AC156" s="220"/>
      <c r="AD156" s="220"/>
      <c r="AE156" s="222"/>
      <c r="AF156" s="222"/>
      <c r="AG156" s="222"/>
    </row>
    <row r="157" spans="1:33">
      <c r="A157" s="190" t="s">
        <v>736</v>
      </c>
      <c r="B157" s="191" t="s">
        <v>552</v>
      </c>
      <c r="C157" s="190">
        <v>0</v>
      </c>
      <c r="D157" s="190">
        <v>0</v>
      </c>
      <c r="E157" s="200">
        <v>0</v>
      </c>
      <c r="F157" s="221"/>
      <c r="G157" s="221"/>
      <c r="H157" s="221"/>
      <c r="I157" s="221"/>
      <c r="J157" s="221"/>
      <c r="K157" s="221"/>
      <c r="L157" s="221"/>
      <c r="M157" s="221"/>
      <c r="N157" s="221"/>
      <c r="O157" s="221"/>
      <c r="P157" s="221"/>
      <c r="Q157" s="221"/>
      <c r="R157" s="221"/>
      <c r="S157" s="221"/>
      <c r="T157" s="221"/>
      <c r="U157" s="221"/>
      <c r="V157" s="221"/>
      <c r="W157" s="221"/>
      <c r="X157" s="193"/>
      <c r="Y157" s="220"/>
      <c r="Z157" s="220"/>
      <c r="AA157" s="220"/>
      <c r="AB157" s="220"/>
      <c r="AC157" s="220"/>
      <c r="AD157" s="220"/>
      <c r="AE157" s="222"/>
      <c r="AF157" s="222"/>
      <c r="AG157" s="222"/>
    </row>
    <row r="158" spans="1:33">
      <c r="A158" s="190" t="s">
        <v>736</v>
      </c>
      <c r="B158" s="191" t="s">
        <v>553</v>
      </c>
      <c r="C158" s="190">
        <v>0</v>
      </c>
      <c r="D158" s="190">
        <v>0</v>
      </c>
      <c r="E158" s="200">
        <v>0</v>
      </c>
      <c r="F158" s="221"/>
      <c r="G158" s="221"/>
      <c r="H158" s="221"/>
      <c r="I158" s="221"/>
      <c r="J158" s="221"/>
      <c r="K158" s="221"/>
      <c r="L158" s="221"/>
      <c r="M158" s="221"/>
      <c r="N158" s="221"/>
      <c r="O158" s="221"/>
      <c r="P158" s="221"/>
      <c r="Q158" s="221"/>
      <c r="R158" s="221"/>
      <c r="S158" s="221"/>
      <c r="T158" s="221"/>
      <c r="U158" s="221"/>
      <c r="V158" s="221"/>
      <c r="W158" s="221"/>
      <c r="X158" s="221"/>
      <c r="Y158" s="193"/>
      <c r="Z158" s="220"/>
      <c r="AA158" s="220"/>
      <c r="AB158" s="220"/>
      <c r="AC158" s="220"/>
      <c r="AD158" s="220"/>
      <c r="AE158" s="222"/>
      <c r="AF158" s="222"/>
      <c r="AG158" s="222"/>
    </row>
    <row r="159" spans="1:33">
      <c r="A159" s="190" t="s">
        <v>736</v>
      </c>
      <c r="B159" t="s">
        <v>634</v>
      </c>
      <c r="C159" s="190">
        <v>0</v>
      </c>
      <c r="D159" s="190">
        <v>0</v>
      </c>
      <c r="E159" s="200">
        <v>0</v>
      </c>
      <c r="F159" s="221"/>
      <c r="G159" s="221"/>
      <c r="H159" s="221"/>
      <c r="I159" s="221"/>
      <c r="J159" s="221"/>
      <c r="K159" s="221"/>
      <c r="L159" s="221"/>
      <c r="M159" s="221"/>
      <c r="N159" s="221"/>
      <c r="O159" s="221"/>
      <c r="P159" s="221"/>
      <c r="Q159" s="221"/>
      <c r="R159" s="221"/>
      <c r="S159" s="221"/>
      <c r="T159" s="221"/>
      <c r="U159" s="221"/>
      <c r="V159" s="221"/>
      <c r="W159" s="221"/>
      <c r="X159" s="221"/>
      <c r="Y159" s="221"/>
      <c r="Z159" s="193"/>
      <c r="AA159" s="220"/>
      <c r="AB159" s="220"/>
      <c r="AC159" s="220"/>
      <c r="AD159" s="220"/>
      <c r="AE159" s="222"/>
      <c r="AF159" s="222"/>
      <c r="AG159" s="222"/>
    </row>
    <row r="160" spans="1:33">
      <c r="A160" s="190" t="s">
        <v>736</v>
      </c>
      <c r="B160" t="s">
        <v>635</v>
      </c>
      <c r="C160" s="190">
        <v>0</v>
      </c>
      <c r="D160" s="190">
        <v>0</v>
      </c>
      <c r="E160" s="200">
        <v>0</v>
      </c>
      <c r="F160" s="221"/>
      <c r="G160" s="221"/>
      <c r="H160" s="221"/>
      <c r="I160" s="221"/>
      <c r="J160" s="221"/>
      <c r="K160" s="221"/>
      <c r="L160" s="221"/>
      <c r="M160" s="221"/>
      <c r="N160" s="221"/>
      <c r="O160" s="221"/>
      <c r="P160" s="221"/>
      <c r="Q160" s="221"/>
      <c r="R160" s="221"/>
      <c r="S160" s="221"/>
      <c r="T160" s="221"/>
      <c r="U160" s="221"/>
      <c r="V160" s="221"/>
      <c r="W160" s="221"/>
      <c r="X160" s="221"/>
      <c r="Y160" s="221"/>
      <c r="Z160" s="221"/>
      <c r="AA160" s="193"/>
      <c r="AB160" s="220"/>
      <c r="AC160" s="220"/>
      <c r="AD160" s="220"/>
      <c r="AE160" s="222"/>
      <c r="AF160" s="222"/>
      <c r="AG160" s="222"/>
    </row>
    <row r="161" spans="1:33">
      <c r="A161" s="190" t="s">
        <v>736</v>
      </c>
      <c r="B161" t="s">
        <v>636</v>
      </c>
      <c r="C161" s="190">
        <v>0</v>
      </c>
      <c r="D161" s="190">
        <v>0</v>
      </c>
      <c r="E161" s="200">
        <v>0</v>
      </c>
      <c r="F161" s="221"/>
      <c r="G161" s="221"/>
      <c r="H161" s="221"/>
      <c r="I161" s="221"/>
      <c r="J161" s="221"/>
      <c r="K161" s="221"/>
      <c r="L161" s="221"/>
      <c r="M161" s="221"/>
      <c r="N161" s="221"/>
      <c r="O161" s="221"/>
      <c r="P161" s="221"/>
      <c r="Q161" s="221"/>
      <c r="R161" s="221"/>
      <c r="S161" s="221"/>
      <c r="T161" s="221"/>
      <c r="U161" s="221"/>
      <c r="V161" s="221"/>
      <c r="W161" s="221"/>
      <c r="X161" s="221"/>
      <c r="Y161" s="221"/>
      <c r="Z161" s="221"/>
      <c r="AA161" s="221"/>
      <c r="AB161" s="193"/>
      <c r="AC161" s="220"/>
      <c r="AD161" s="220"/>
      <c r="AE161" s="222"/>
      <c r="AF161" s="222"/>
      <c r="AG161" s="222"/>
    </row>
    <row r="162" spans="1:33">
      <c r="A162" s="190" t="s">
        <v>736</v>
      </c>
      <c r="B162" t="s">
        <v>637</v>
      </c>
      <c r="C162" s="190">
        <v>0</v>
      </c>
      <c r="D162" s="190">
        <v>0</v>
      </c>
      <c r="E162" s="200">
        <v>0</v>
      </c>
      <c r="F162" s="221"/>
      <c r="G162" s="221"/>
      <c r="H162" s="221"/>
      <c r="I162" s="221"/>
      <c r="J162" s="221"/>
      <c r="K162" s="221"/>
      <c r="L162" s="221"/>
      <c r="M162" s="221"/>
      <c r="N162" s="221"/>
      <c r="O162" s="221"/>
      <c r="P162" s="221"/>
      <c r="Q162" s="221"/>
      <c r="R162" s="221"/>
      <c r="S162" s="221"/>
      <c r="T162" s="221"/>
      <c r="U162" s="221"/>
      <c r="V162" s="221"/>
      <c r="W162" s="221"/>
      <c r="X162" s="221"/>
      <c r="Y162" s="221"/>
      <c r="Z162" s="221"/>
      <c r="AA162" s="221"/>
      <c r="AB162" s="221"/>
      <c r="AC162" s="193"/>
      <c r="AD162" s="220"/>
      <c r="AE162" s="222"/>
      <c r="AF162" s="222"/>
      <c r="AG162" s="222"/>
    </row>
    <row r="163" spans="1:33">
      <c r="A163" s="190" t="s">
        <v>736</v>
      </c>
      <c r="B163" t="s">
        <v>638</v>
      </c>
      <c r="C163" s="190">
        <v>0</v>
      </c>
      <c r="D163" s="190">
        <v>0</v>
      </c>
      <c r="E163" s="200">
        <v>0</v>
      </c>
      <c r="F163" s="221"/>
      <c r="G163" s="221"/>
      <c r="H163" s="221"/>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193"/>
      <c r="AE163" s="222"/>
      <c r="AF163" s="222"/>
      <c r="AG163" s="222"/>
    </row>
    <row r="164" spans="1:33">
      <c r="A164" s="194"/>
      <c r="B164" s="195" t="s">
        <v>219</v>
      </c>
      <c r="C164" s="190">
        <v>0</v>
      </c>
      <c r="D164" s="190">
        <v>0</v>
      </c>
      <c r="E164" s="200">
        <v>0</v>
      </c>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row>
    <row r="165" spans="1:33">
      <c r="C165" s="203"/>
    </row>
    <row r="168" spans="1:33">
      <c r="B168" s="185" t="s">
        <v>742</v>
      </c>
      <c r="K168" s="218" t="s">
        <v>52</v>
      </c>
    </row>
    <row r="169" spans="1:33" ht="26.45">
      <c r="A169" s="186"/>
      <c r="B169" s="187" t="s">
        <v>713</v>
      </c>
      <c r="C169" s="865" t="s">
        <v>738</v>
      </c>
      <c r="D169" s="865" t="s">
        <v>715</v>
      </c>
      <c r="E169" s="865" t="s">
        <v>716</v>
      </c>
      <c r="F169" s="867" t="s">
        <v>717</v>
      </c>
      <c r="G169" s="868"/>
      <c r="H169" s="868"/>
      <c r="I169" s="868"/>
      <c r="J169" s="868"/>
      <c r="K169" s="868"/>
      <c r="L169" s="868"/>
      <c r="M169" s="868"/>
      <c r="N169" s="868"/>
      <c r="O169" s="868"/>
      <c r="P169" s="868"/>
      <c r="Q169" s="868"/>
      <c r="R169" s="868"/>
      <c r="S169" s="868"/>
      <c r="T169" s="868"/>
      <c r="U169" s="868"/>
      <c r="V169" s="868"/>
      <c r="W169" s="868"/>
      <c r="X169" s="868"/>
      <c r="Y169" s="868"/>
      <c r="Z169" s="868"/>
      <c r="AA169" s="868"/>
      <c r="AB169" s="868"/>
      <c r="AC169" s="868"/>
      <c r="AD169" s="869"/>
      <c r="AE169" s="219" t="s">
        <v>718</v>
      </c>
      <c r="AF169" s="219" t="s">
        <v>719</v>
      </c>
      <c r="AG169" s="219" t="s">
        <v>720</v>
      </c>
    </row>
    <row r="170" spans="1:33">
      <c r="A170" s="186"/>
      <c r="B170" s="187"/>
      <c r="C170" s="866"/>
      <c r="D170" s="866"/>
      <c r="E170" s="866"/>
      <c r="F170" s="189" t="s">
        <v>721</v>
      </c>
      <c r="G170" s="189" t="s">
        <v>722</v>
      </c>
      <c r="H170" s="189" t="s">
        <v>723</v>
      </c>
      <c r="I170" s="189" t="s">
        <v>724</v>
      </c>
      <c r="J170" s="189" t="s">
        <v>725</v>
      </c>
      <c r="K170" s="189" t="s">
        <v>726</v>
      </c>
      <c r="L170" s="189" t="s">
        <v>727</v>
      </c>
      <c r="M170" s="189" t="s">
        <v>728</v>
      </c>
      <c r="N170" s="189" t="s">
        <v>729</v>
      </c>
      <c r="O170" s="189" t="s">
        <v>730</v>
      </c>
      <c r="P170" s="189" t="s">
        <v>731</v>
      </c>
      <c r="Q170" s="189" t="s">
        <v>732</v>
      </c>
      <c r="R170" s="189" t="s">
        <v>733</v>
      </c>
      <c r="S170" s="189" t="s">
        <v>734</v>
      </c>
      <c r="T170" s="189" t="s">
        <v>548</v>
      </c>
      <c r="U170" s="189" t="s">
        <v>549</v>
      </c>
      <c r="V170" s="189" t="s">
        <v>550</v>
      </c>
      <c r="W170" s="189" t="s">
        <v>551</v>
      </c>
      <c r="X170" s="189" t="s">
        <v>552</v>
      </c>
      <c r="Y170" s="189" t="s">
        <v>101</v>
      </c>
      <c r="Z170" s="189" t="s">
        <v>56</v>
      </c>
      <c r="AA170" s="189" t="s">
        <v>57</v>
      </c>
      <c r="AB170" s="189" t="s">
        <v>58</v>
      </c>
      <c r="AC170" s="189" t="s">
        <v>59</v>
      </c>
      <c r="AD170" s="189" t="s">
        <v>60</v>
      </c>
      <c r="AE170" s="219"/>
      <c r="AF170" s="219"/>
      <c r="AG170" s="219"/>
    </row>
    <row r="171" spans="1:33">
      <c r="A171" s="190" t="s">
        <v>735</v>
      </c>
      <c r="B171" s="191">
        <v>2005</v>
      </c>
      <c r="C171" s="190">
        <v>0</v>
      </c>
      <c r="D171" s="190">
        <v>0</v>
      </c>
      <c r="E171" s="200">
        <v>0</v>
      </c>
      <c r="F171" s="192"/>
      <c r="G171" s="192"/>
      <c r="H171" s="192"/>
      <c r="I171" s="192"/>
      <c r="J171" s="192"/>
      <c r="K171" s="220"/>
      <c r="L171" s="220"/>
      <c r="M171" s="220"/>
      <c r="N171" s="220"/>
      <c r="O171" s="220"/>
      <c r="P171" s="220"/>
      <c r="Q171" s="220"/>
      <c r="R171" s="220"/>
      <c r="S171" s="220"/>
      <c r="T171" s="220"/>
      <c r="U171" s="220"/>
      <c r="V171" s="220"/>
      <c r="W171" s="220"/>
      <c r="X171" s="220"/>
      <c r="Y171" s="220"/>
      <c r="Z171" s="220"/>
      <c r="AA171" s="220"/>
      <c r="AB171" s="220"/>
      <c r="AC171" s="220"/>
      <c r="AD171" s="220"/>
      <c r="AE171" s="222"/>
      <c r="AF171" s="222"/>
      <c r="AG171" s="222"/>
    </row>
    <row r="172" spans="1:33">
      <c r="A172" s="190" t="s">
        <v>736</v>
      </c>
      <c r="B172" s="191" t="s">
        <v>721</v>
      </c>
      <c r="C172" s="190">
        <v>0</v>
      </c>
      <c r="D172" s="190">
        <v>0</v>
      </c>
      <c r="E172" s="200">
        <v>0</v>
      </c>
      <c r="F172" s="193"/>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2"/>
      <c r="AF172" s="222"/>
      <c r="AG172" s="222"/>
    </row>
    <row r="173" spans="1:33">
      <c r="A173" s="190" t="s">
        <v>736</v>
      </c>
      <c r="B173" s="191" t="s">
        <v>722</v>
      </c>
      <c r="C173" s="190">
        <v>0</v>
      </c>
      <c r="D173" s="190">
        <v>0</v>
      </c>
      <c r="E173" s="200">
        <v>0</v>
      </c>
      <c r="F173" s="221"/>
      <c r="G173" s="193"/>
      <c r="H173" s="220"/>
      <c r="I173" s="220"/>
      <c r="J173" s="220"/>
      <c r="K173" s="220"/>
      <c r="L173" s="220"/>
      <c r="M173" s="220"/>
      <c r="N173" s="220"/>
      <c r="O173" s="220"/>
      <c r="P173" s="220"/>
      <c r="Q173" s="220"/>
      <c r="R173" s="220"/>
      <c r="S173" s="220"/>
      <c r="T173" s="220"/>
      <c r="U173" s="220"/>
      <c r="V173" s="220"/>
      <c r="W173" s="220"/>
      <c r="X173" s="220"/>
      <c r="Y173" s="220"/>
      <c r="Z173" s="220"/>
      <c r="AA173" s="220"/>
      <c r="AB173" s="220"/>
      <c r="AC173" s="220"/>
      <c r="AD173" s="220"/>
      <c r="AE173" s="222"/>
      <c r="AF173" s="222"/>
      <c r="AG173" s="222"/>
    </row>
    <row r="174" spans="1:33">
      <c r="A174" s="190" t="s">
        <v>736</v>
      </c>
      <c r="B174" s="191" t="s">
        <v>723</v>
      </c>
      <c r="C174" s="190">
        <v>0</v>
      </c>
      <c r="D174" s="190">
        <v>0</v>
      </c>
      <c r="E174" s="200">
        <v>0</v>
      </c>
      <c r="F174" s="221"/>
      <c r="G174" s="221"/>
      <c r="H174" s="193"/>
      <c r="I174" s="220"/>
      <c r="J174" s="220"/>
      <c r="K174" s="220"/>
      <c r="L174" s="220"/>
      <c r="M174" s="220"/>
      <c r="N174" s="220"/>
      <c r="O174" s="220"/>
      <c r="P174" s="220"/>
      <c r="Q174" s="220"/>
      <c r="R174" s="220"/>
      <c r="S174" s="220"/>
      <c r="T174" s="220"/>
      <c r="U174" s="220"/>
      <c r="V174" s="220"/>
      <c r="W174" s="220"/>
      <c r="X174" s="220"/>
      <c r="Y174" s="220"/>
      <c r="Z174" s="220"/>
      <c r="AA174" s="220"/>
      <c r="AB174" s="220"/>
      <c r="AC174" s="220"/>
      <c r="AD174" s="220"/>
      <c r="AE174" s="222"/>
      <c r="AF174" s="222"/>
      <c r="AG174" s="222"/>
    </row>
    <row r="175" spans="1:33">
      <c r="A175" s="190" t="s">
        <v>736</v>
      </c>
      <c r="B175" s="191" t="s">
        <v>724</v>
      </c>
      <c r="C175" s="190">
        <v>0</v>
      </c>
      <c r="D175" s="190">
        <v>0</v>
      </c>
      <c r="E175" s="200">
        <v>0</v>
      </c>
      <c r="F175" s="221"/>
      <c r="G175" s="221"/>
      <c r="H175" s="221"/>
      <c r="I175" s="193"/>
      <c r="J175" s="220"/>
      <c r="K175" s="220"/>
      <c r="L175" s="220"/>
      <c r="M175" s="220"/>
      <c r="N175" s="220"/>
      <c r="O175" s="220"/>
      <c r="P175" s="220"/>
      <c r="Q175" s="220"/>
      <c r="R175" s="220"/>
      <c r="S175" s="220"/>
      <c r="T175" s="220"/>
      <c r="U175" s="220"/>
      <c r="V175" s="220"/>
      <c r="W175" s="220"/>
      <c r="X175" s="220"/>
      <c r="Y175" s="220"/>
      <c r="Z175" s="220"/>
      <c r="AA175" s="220"/>
      <c r="AB175" s="220"/>
      <c r="AC175" s="220"/>
      <c r="AD175" s="220"/>
      <c r="AE175" s="222"/>
      <c r="AF175" s="222"/>
      <c r="AG175" s="222"/>
    </row>
    <row r="176" spans="1:33">
      <c r="A176" s="190" t="s">
        <v>736</v>
      </c>
      <c r="B176" s="191" t="s">
        <v>725</v>
      </c>
      <c r="C176" s="190">
        <v>0</v>
      </c>
      <c r="D176" s="190">
        <v>0</v>
      </c>
      <c r="E176" s="200">
        <v>0</v>
      </c>
      <c r="F176" s="221"/>
      <c r="G176" s="221"/>
      <c r="H176" s="221"/>
      <c r="I176" s="221"/>
      <c r="J176" s="193"/>
      <c r="K176" s="220"/>
      <c r="L176" s="220"/>
      <c r="M176" s="220"/>
      <c r="N176" s="220"/>
      <c r="O176" s="220"/>
      <c r="P176" s="220"/>
      <c r="Q176" s="220"/>
      <c r="R176" s="220"/>
      <c r="S176" s="220"/>
      <c r="T176" s="220"/>
      <c r="U176" s="220"/>
      <c r="V176" s="220"/>
      <c r="W176" s="220"/>
      <c r="X176" s="220"/>
      <c r="Y176" s="220"/>
      <c r="Z176" s="220"/>
      <c r="AA176" s="220"/>
      <c r="AB176" s="220"/>
      <c r="AC176" s="220"/>
      <c r="AD176" s="220"/>
      <c r="AE176" s="222"/>
      <c r="AF176" s="222"/>
      <c r="AG176" s="222"/>
    </row>
    <row r="177" spans="1:33">
      <c r="A177" s="190" t="s">
        <v>736</v>
      </c>
      <c r="B177" s="191" t="s">
        <v>726</v>
      </c>
      <c r="C177" s="190">
        <v>0</v>
      </c>
      <c r="D177" s="190">
        <v>0</v>
      </c>
      <c r="E177" s="200">
        <v>0</v>
      </c>
      <c r="F177" s="221"/>
      <c r="G177" s="221"/>
      <c r="H177" s="221"/>
      <c r="I177" s="221"/>
      <c r="J177" s="221"/>
      <c r="K177" s="193"/>
      <c r="L177" s="220"/>
      <c r="M177" s="220"/>
      <c r="N177" s="220"/>
      <c r="O177" s="220"/>
      <c r="P177" s="220"/>
      <c r="Q177" s="220"/>
      <c r="R177" s="220"/>
      <c r="S177" s="220"/>
      <c r="T177" s="220"/>
      <c r="U177" s="220"/>
      <c r="V177" s="220"/>
      <c r="W177" s="220"/>
      <c r="X177" s="220"/>
      <c r="Y177" s="220"/>
      <c r="Z177" s="220"/>
      <c r="AA177" s="220"/>
      <c r="AB177" s="220"/>
      <c r="AC177" s="220"/>
      <c r="AD177" s="220"/>
      <c r="AE177" s="222"/>
      <c r="AF177" s="222"/>
      <c r="AG177" s="222"/>
    </row>
    <row r="178" spans="1:33">
      <c r="A178" s="190" t="s">
        <v>736</v>
      </c>
      <c r="B178" s="191" t="s">
        <v>727</v>
      </c>
      <c r="C178" s="190">
        <v>0</v>
      </c>
      <c r="D178" s="190">
        <v>0</v>
      </c>
      <c r="E178" s="200">
        <v>0</v>
      </c>
      <c r="F178" s="221"/>
      <c r="G178" s="221"/>
      <c r="H178" s="221"/>
      <c r="I178" s="221"/>
      <c r="J178" s="221"/>
      <c r="K178" s="221"/>
      <c r="L178" s="193"/>
      <c r="M178" s="220"/>
      <c r="N178" s="220"/>
      <c r="O178" s="220"/>
      <c r="P178" s="220"/>
      <c r="Q178" s="220"/>
      <c r="R178" s="220"/>
      <c r="S178" s="220"/>
      <c r="T178" s="220"/>
      <c r="U178" s="220"/>
      <c r="V178" s="220"/>
      <c r="W178" s="220"/>
      <c r="X178" s="220"/>
      <c r="Y178" s="220"/>
      <c r="Z178" s="220"/>
      <c r="AA178" s="220"/>
      <c r="AB178" s="220"/>
      <c r="AC178" s="220"/>
      <c r="AD178" s="220"/>
      <c r="AE178" s="222"/>
      <c r="AF178" s="222"/>
      <c r="AG178" s="222"/>
    </row>
    <row r="179" spans="1:33">
      <c r="A179" s="190" t="s">
        <v>736</v>
      </c>
      <c r="B179" s="191" t="s">
        <v>728</v>
      </c>
      <c r="C179" s="190">
        <v>0</v>
      </c>
      <c r="D179" s="190">
        <v>0</v>
      </c>
      <c r="E179" s="200">
        <v>0</v>
      </c>
      <c r="F179" s="221"/>
      <c r="G179" s="221"/>
      <c r="H179" s="221"/>
      <c r="I179" s="221"/>
      <c r="J179" s="221"/>
      <c r="K179" s="221"/>
      <c r="L179" s="221"/>
      <c r="M179" s="193"/>
      <c r="N179" s="220"/>
      <c r="O179" s="220"/>
      <c r="P179" s="220"/>
      <c r="Q179" s="220"/>
      <c r="R179" s="220"/>
      <c r="S179" s="220"/>
      <c r="T179" s="220"/>
      <c r="U179" s="220"/>
      <c r="V179" s="220"/>
      <c r="W179" s="220"/>
      <c r="X179" s="220"/>
      <c r="Y179" s="220"/>
      <c r="Z179" s="220"/>
      <c r="AA179" s="220"/>
      <c r="AB179" s="220"/>
      <c r="AC179" s="220"/>
      <c r="AD179" s="220"/>
      <c r="AE179" s="222"/>
      <c r="AF179" s="222"/>
      <c r="AG179" s="222"/>
    </row>
    <row r="180" spans="1:33">
      <c r="A180" s="190" t="s">
        <v>736</v>
      </c>
      <c r="B180" s="191" t="s">
        <v>729</v>
      </c>
      <c r="C180" s="190">
        <v>0</v>
      </c>
      <c r="D180" s="190">
        <v>0</v>
      </c>
      <c r="E180" s="200">
        <v>0</v>
      </c>
      <c r="F180" s="221"/>
      <c r="G180" s="221"/>
      <c r="H180" s="221"/>
      <c r="I180" s="221"/>
      <c r="J180" s="221"/>
      <c r="K180" s="221"/>
      <c r="L180" s="221"/>
      <c r="M180" s="221"/>
      <c r="N180" s="193"/>
      <c r="O180" s="220"/>
      <c r="P180" s="220"/>
      <c r="Q180" s="220"/>
      <c r="R180" s="220"/>
      <c r="S180" s="220"/>
      <c r="T180" s="220"/>
      <c r="U180" s="220"/>
      <c r="V180" s="220"/>
      <c r="W180" s="220"/>
      <c r="X180" s="220"/>
      <c r="Y180" s="220"/>
      <c r="Z180" s="220"/>
      <c r="AA180" s="220"/>
      <c r="AB180" s="220"/>
      <c r="AC180" s="220"/>
      <c r="AD180" s="220"/>
      <c r="AE180" s="222"/>
      <c r="AF180" s="222"/>
      <c r="AG180" s="222"/>
    </row>
    <row r="181" spans="1:33">
      <c r="A181" s="190" t="s">
        <v>736</v>
      </c>
      <c r="B181" s="191" t="s">
        <v>730</v>
      </c>
      <c r="C181" s="190">
        <v>0</v>
      </c>
      <c r="D181" s="190">
        <v>0</v>
      </c>
      <c r="E181" s="200">
        <v>0</v>
      </c>
      <c r="F181" s="221"/>
      <c r="G181" s="221"/>
      <c r="H181" s="221"/>
      <c r="I181" s="221"/>
      <c r="J181" s="221"/>
      <c r="K181" s="221"/>
      <c r="L181" s="221"/>
      <c r="M181" s="221"/>
      <c r="N181" s="221"/>
      <c r="O181" s="193"/>
      <c r="P181" s="220"/>
      <c r="Q181" s="220"/>
      <c r="R181" s="220"/>
      <c r="S181" s="220"/>
      <c r="T181" s="220"/>
      <c r="U181" s="220"/>
      <c r="V181" s="220"/>
      <c r="W181" s="220"/>
      <c r="X181" s="220"/>
      <c r="Y181" s="220"/>
      <c r="Z181" s="220"/>
      <c r="AA181" s="220"/>
      <c r="AB181" s="220"/>
      <c r="AC181" s="220"/>
      <c r="AD181" s="220"/>
      <c r="AE181" s="222"/>
      <c r="AF181" s="222"/>
      <c r="AG181" s="222"/>
    </row>
    <row r="182" spans="1:33">
      <c r="A182" s="190" t="s">
        <v>736</v>
      </c>
      <c r="B182" s="191" t="s">
        <v>731</v>
      </c>
      <c r="C182" s="190">
        <v>0</v>
      </c>
      <c r="D182" s="190">
        <v>0</v>
      </c>
      <c r="E182" s="200">
        <v>0</v>
      </c>
      <c r="F182" s="221"/>
      <c r="G182" s="221"/>
      <c r="H182" s="221"/>
      <c r="I182" s="221"/>
      <c r="J182" s="221"/>
      <c r="K182" s="221"/>
      <c r="L182" s="221"/>
      <c r="M182" s="221"/>
      <c r="N182" s="221"/>
      <c r="O182" s="221"/>
      <c r="P182" s="193"/>
      <c r="Q182" s="220"/>
      <c r="R182" s="220"/>
      <c r="S182" s="220"/>
      <c r="T182" s="220"/>
      <c r="U182" s="220"/>
      <c r="V182" s="220"/>
      <c r="W182" s="220"/>
      <c r="X182" s="220"/>
      <c r="Y182" s="220"/>
      <c r="Z182" s="220"/>
      <c r="AA182" s="220"/>
      <c r="AB182" s="220"/>
      <c r="AC182" s="220"/>
      <c r="AD182" s="220"/>
      <c r="AE182" s="222"/>
      <c r="AF182" s="222"/>
      <c r="AG182" s="222"/>
    </row>
    <row r="183" spans="1:33">
      <c r="A183" s="190" t="s">
        <v>736</v>
      </c>
      <c r="B183" s="191" t="s">
        <v>732</v>
      </c>
      <c r="C183" s="190">
        <v>0</v>
      </c>
      <c r="D183" s="190">
        <v>0</v>
      </c>
      <c r="E183" s="200">
        <v>0</v>
      </c>
      <c r="F183" s="221"/>
      <c r="G183" s="221"/>
      <c r="H183" s="221"/>
      <c r="I183" s="221"/>
      <c r="J183" s="221"/>
      <c r="K183" s="221"/>
      <c r="L183" s="221"/>
      <c r="M183" s="221"/>
      <c r="N183" s="221"/>
      <c r="O183" s="221"/>
      <c r="P183" s="221"/>
      <c r="Q183" s="193"/>
      <c r="R183" s="220"/>
      <c r="S183" s="220"/>
      <c r="T183" s="220"/>
      <c r="U183" s="220"/>
      <c r="V183" s="220"/>
      <c r="W183" s="220"/>
      <c r="X183" s="220"/>
      <c r="Y183" s="220"/>
      <c r="Z183" s="220"/>
      <c r="AA183" s="220"/>
      <c r="AB183" s="220"/>
      <c r="AC183" s="220"/>
      <c r="AD183" s="220"/>
      <c r="AE183" s="222"/>
      <c r="AF183" s="222"/>
      <c r="AG183" s="222"/>
    </row>
    <row r="184" spans="1:33">
      <c r="A184" s="190" t="s">
        <v>736</v>
      </c>
      <c r="B184" s="191" t="s">
        <v>733</v>
      </c>
      <c r="C184" s="190">
        <v>0</v>
      </c>
      <c r="D184" s="190">
        <v>0</v>
      </c>
      <c r="E184" s="200">
        <v>0</v>
      </c>
      <c r="F184" s="221"/>
      <c r="G184" s="221"/>
      <c r="H184" s="221"/>
      <c r="I184" s="221"/>
      <c r="J184" s="221"/>
      <c r="K184" s="221"/>
      <c r="L184" s="221"/>
      <c r="M184" s="221"/>
      <c r="N184" s="221"/>
      <c r="O184" s="221"/>
      <c r="P184" s="221"/>
      <c r="Q184" s="221"/>
      <c r="R184" s="193"/>
      <c r="S184" s="220"/>
      <c r="T184" s="220"/>
      <c r="U184" s="220"/>
      <c r="V184" s="220"/>
      <c r="W184" s="220"/>
      <c r="X184" s="220"/>
      <c r="Y184" s="220"/>
      <c r="Z184" s="220"/>
      <c r="AA184" s="220"/>
      <c r="AB184" s="220"/>
      <c r="AC184" s="220"/>
      <c r="AD184" s="220"/>
      <c r="AE184" s="222"/>
      <c r="AF184" s="222"/>
      <c r="AG184" s="222"/>
    </row>
    <row r="185" spans="1:33">
      <c r="A185" s="190" t="s">
        <v>736</v>
      </c>
      <c r="B185" s="191" t="s">
        <v>734</v>
      </c>
      <c r="C185" s="190">
        <v>0</v>
      </c>
      <c r="D185" s="190">
        <v>0</v>
      </c>
      <c r="E185" s="200">
        <v>0</v>
      </c>
      <c r="F185" s="221"/>
      <c r="G185" s="221"/>
      <c r="H185" s="221"/>
      <c r="I185" s="221"/>
      <c r="J185" s="221"/>
      <c r="K185" s="221"/>
      <c r="L185" s="221"/>
      <c r="M185" s="221"/>
      <c r="N185" s="221"/>
      <c r="O185" s="221"/>
      <c r="P185" s="221"/>
      <c r="Q185" s="221"/>
      <c r="R185" s="221"/>
      <c r="S185" s="193"/>
      <c r="T185" s="220"/>
      <c r="U185" s="220"/>
      <c r="V185" s="220"/>
      <c r="W185" s="220"/>
      <c r="X185" s="220"/>
      <c r="Y185" s="220"/>
      <c r="Z185" s="220"/>
      <c r="AA185" s="220"/>
      <c r="AB185" s="220"/>
      <c r="AC185" s="220"/>
      <c r="AD185" s="220"/>
      <c r="AE185" s="222"/>
      <c r="AF185" s="222"/>
      <c r="AG185" s="222"/>
    </row>
    <row r="186" spans="1:33">
      <c r="A186" s="190" t="s">
        <v>736</v>
      </c>
      <c r="B186" s="191" t="s">
        <v>548</v>
      </c>
      <c r="C186" s="190">
        <v>0</v>
      </c>
      <c r="D186" s="190">
        <v>0</v>
      </c>
      <c r="E186" s="200">
        <v>0</v>
      </c>
      <c r="F186" s="221"/>
      <c r="G186" s="221"/>
      <c r="H186" s="221"/>
      <c r="I186" s="221"/>
      <c r="J186" s="221"/>
      <c r="K186" s="221"/>
      <c r="L186" s="221"/>
      <c r="M186" s="221"/>
      <c r="N186" s="221"/>
      <c r="O186" s="221"/>
      <c r="P186" s="221"/>
      <c r="Q186" s="221"/>
      <c r="R186" s="221"/>
      <c r="S186" s="221"/>
      <c r="T186" s="193"/>
      <c r="U186" s="220"/>
      <c r="V186" s="220"/>
      <c r="W186" s="220"/>
      <c r="X186" s="220"/>
      <c r="Y186" s="220"/>
      <c r="Z186" s="220"/>
      <c r="AA186" s="220"/>
      <c r="AB186" s="220"/>
      <c r="AC186" s="220"/>
      <c r="AD186" s="220"/>
      <c r="AE186" s="222"/>
      <c r="AF186" s="222"/>
      <c r="AG186" s="222"/>
    </row>
    <row r="187" spans="1:33">
      <c r="A187" s="190" t="s">
        <v>736</v>
      </c>
      <c r="B187" s="191" t="s">
        <v>549</v>
      </c>
      <c r="C187" s="190">
        <v>0</v>
      </c>
      <c r="D187" s="190">
        <v>0</v>
      </c>
      <c r="E187" s="200">
        <v>0</v>
      </c>
      <c r="F187" s="221"/>
      <c r="G187" s="221"/>
      <c r="H187" s="221"/>
      <c r="I187" s="221"/>
      <c r="J187" s="221"/>
      <c r="K187" s="221"/>
      <c r="L187" s="221"/>
      <c r="M187" s="221"/>
      <c r="N187" s="221"/>
      <c r="O187" s="221"/>
      <c r="P187" s="221"/>
      <c r="Q187" s="221"/>
      <c r="R187" s="221"/>
      <c r="S187" s="221"/>
      <c r="T187" s="221"/>
      <c r="U187" s="193"/>
      <c r="V187" s="220"/>
      <c r="W187" s="220"/>
      <c r="X187" s="220"/>
      <c r="Y187" s="220"/>
      <c r="Z187" s="220"/>
      <c r="AA187" s="220"/>
      <c r="AB187" s="220"/>
      <c r="AC187" s="220"/>
      <c r="AD187" s="220"/>
      <c r="AE187" s="222"/>
      <c r="AF187" s="222"/>
      <c r="AG187" s="222"/>
    </row>
    <row r="188" spans="1:33">
      <c r="A188" s="190" t="s">
        <v>736</v>
      </c>
      <c r="B188" s="191" t="s">
        <v>550</v>
      </c>
      <c r="C188" s="190">
        <v>0</v>
      </c>
      <c r="D188" s="190">
        <v>0</v>
      </c>
      <c r="E188" s="200">
        <v>0</v>
      </c>
      <c r="F188" s="221"/>
      <c r="G188" s="221"/>
      <c r="H188" s="221"/>
      <c r="I188" s="221"/>
      <c r="J188" s="221"/>
      <c r="K188" s="221"/>
      <c r="L188" s="221"/>
      <c r="M188" s="221"/>
      <c r="N188" s="221"/>
      <c r="O188" s="221"/>
      <c r="P188" s="221"/>
      <c r="Q188" s="221"/>
      <c r="R188" s="221"/>
      <c r="S188" s="221"/>
      <c r="T188" s="221"/>
      <c r="U188" s="221"/>
      <c r="V188" s="193"/>
      <c r="W188" s="220"/>
      <c r="X188" s="220"/>
      <c r="Y188" s="220"/>
      <c r="Z188" s="220"/>
      <c r="AA188" s="220"/>
      <c r="AB188" s="220"/>
      <c r="AC188" s="220"/>
      <c r="AD188" s="220"/>
      <c r="AE188" s="222"/>
      <c r="AF188" s="222"/>
      <c r="AG188" s="222"/>
    </row>
    <row r="189" spans="1:33">
      <c r="A189" s="190" t="s">
        <v>736</v>
      </c>
      <c r="B189" s="191" t="s">
        <v>551</v>
      </c>
      <c r="C189" s="190">
        <v>0</v>
      </c>
      <c r="D189" s="190">
        <v>0</v>
      </c>
      <c r="E189" s="200">
        <v>0</v>
      </c>
      <c r="F189" s="221"/>
      <c r="G189" s="221"/>
      <c r="H189" s="221"/>
      <c r="I189" s="221"/>
      <c r="J189" s="221"/>
      <c r="K189" s="221"/>
      <c r="L189" s="221"/>
      <c r="M189" s="221"/>
      <c r="N189" s="221"/>
      <c r="O189" s="221"/>
      <c r="P189" s="221"/>
      <c r="Q189" s="221"/>
      <c r="R189" s="221"/>
      <c r="S189" s="221"/>
      <c r="T189" s="221"/>
      <c r="U189" s="221"/>
      <c r="V189" s="221"/>
      <c r="W189" s="193"/>
      <c r="X189" s="220"/>
      <c r="Y189" s="220"/>
      <c r="Z189" s="220"/>
      <c r="AA189" s="220"/>
      <c r="AB189" s="220"/>
      <c r="AC189" s="220"/>
      <c r="AD189" s="220"/>
      <c r="AE189" s="222"/>
      <c r="AF189" s="222"/>
      <c r="AG189" s="222"/>
    </row>
    <row r="190" spans="1:33">
      <c r="A190" s="190" t="s">
        <v>736</v>
      </c>
      <c r="B190" s="191" t="s">
        <v>552</v>
      </c>
      <c r="C190" s="190">
        <v>0</v>
      </c>
      <c r="D190" s="190">
        <v>0</v>
      </c>
      <c r="E190" s="200">
        <v>0</v>
      </c>
      <c r="F190" s="221"/>
      <c r="G190" s="221"/>
      <c r="H190" s="221"/>
      <c r="I190" s="221"/>
      <c r="J190" s="221"/>
      <c r="K190" s="221"/>
      <c r="L190" s="221"/>
      <c r="M190" s="221"/>
      <c r="N190" s="221"/>
      <c r="O190" s="221"/>
      <c r="P190" s="221"/>
      <c r="Q190" s="221"/>
      <c r="R190" s="221"/>
      <c r="S190" s="221"/>
      <c r="T190" s="221"/>
      <c r="U190" s="221"/>
      <c r="V190" s="221"/>
      <c r="W190" s="221"/>
      <c r="X190" s="193"/>
      <c r="Y190" s="220"/>
      <c r="Z190" s="220"/>
      <c r="AA190" s="220"/>
      <c r="AB190" s="220"/>
      <c r="AC190" s="220"/>
      <c r="AD190" s="220"/>
      <c r="AE190" s="222"/>
      <c r="AF190" s="222"/>
      <c r="AG190" s="222"/>
    </row>
    <row r="191" spans="1:33">
      <c r="A191" s="190" t="s">
        <v>736</v>
      </c>
      <c r="B191" s="191" t="s">
        <v>553</v>
      </c>
      <c r="C191" s="190">
        <v>0</v>
      </c>
      <c r="D191" s="190">
        <v>0</v>
      </c>
      <c r="E191" s="200">
        <v>0</v>
      </c>
      <c r="F191" s="221"/>
      <c r="G191" s="221"/>
      <c r="H191" s="221"/>
      <c r="I191" s="221"/>
      <c r="J191" s="221"/>
      <c r="K191" s="221"/>
      <c r="L191" s="221"/>
      <c r="M191" s="221"/>
      <c r="N191" s="221"/>
      <c r="O191" s="221"/>
      <c r="P191" s="221"/>
      <c r="Q191" s="221"/>
      <c r="R191" s="221"/>
      <c r="S191" s="221"/>
      <c r="T191" s="221"/>
      <c r="U191" s="221"/>
      <c r="V191" s="221"/>
      <c r="W191" s="221"/>
      <c r="X191" s="221"/>
      <c r="Y191" s="193"/>
      <c r="Z191" s="220"/>
      <c r="AA191" s="220"/>
      <c r="AB191" s="220"/>
      <c r="AC191" s="220"/>
      <c r="AD191" s="220"/>
      <c r="AE191" s="222"/>
      <c r="AF191" s="222"/>
      <c r="AG191" s="222"/>
    </row>
    <row r="192" spans="1:33">
      <c r="A192" s="190" t="s">
        <v>736</v>
      </c>
      <c r="B192" t="s">
        <v>634</v>
      </c>
      <c r="C192" s="190">
        <v>0</v>
      </c>
      <c r="D192" s="190">
        <v>0</v>
      </c>
      <c r="E192" s="200">
        <v>0</v>
      </c>
      <c r="F192" s="221"/>
      <c r="G192" s="221"/>
      <c r="H192" s="221"/>
      <c r="I192" s="221"/>
      <c r="J192" s="221"/>
      <c r="K192" s="221"/>
      <c r="L192" s="221"/>
      <c r="M192" s="221"/>
      <c r="N192" s="221"/>
      <c r="O192" s="221"/>
      <c r="P192" s="221"/>
      <c r="Q192" s="221"/>
      <c r="R192" s="221"/>
      <c r="S192" s="221"/>
      <c r="T192" s="221"/>
      <c r="U192" s="221"/>
      <c r="V192" s="221"/>
      <c r="W192" s="221"/>
      <c r="X192" s="221"/>
      <c r="Y192" s="221"/>
      <c r="Z192" s="193"/>
      <c r="AA192" s="220"/>
      <c r="AB192" s="220"/>
      <c r="AC192" s="220"/>
      <c r="AD192" s="220"/>
      <c r="AE192" s="222"/>
      <c r="AF192" s="222"/>
      <c r="AG192" s="222"/>
    </row>
    <row r="193" spans="1:33">
      <c r="A193" s="190" t="s">
        <v>736</v>
      </c>
      <c r="B193" t="s">
        <v>635</v>
      </c>
      <c r="C193" s="190">
        <v>0</v>
      </c>
      <c r="D193" s="190">
        <v>0</v>
      </c>
      <c r="E193" s="200">
        <v>0</v>
      </c>
      <c r="F193" s="221"/>
      <c r="G193" s="221"/>
      <c r="H193" s="221"/>
      <c r="I193" s="221"/>
      <c r="J193" s="221"/>
      <c r="K193" s="221"/>
      <c r="L193" s="221"/>
      <c r="M193" s="221"/>
      <c r="N193" s="221"/>
      <c r="O193" s="221"/>
      <c r="P193" s="221"/>
      <c r="Q193" s="221"/>
      <c r="R193" s="221"/>
      <c r="S193" s="221"/>
      <c r="T193" s="221"/>
      <c r="U193" s="221"/>
      <c r="V193" s="221"/>
      <c r="W193" s="221"/>
      <c r="X193" s="221"/>
      <c r="Y193" s="221"/>
      <c r="Z193" s="221"/>
      <c r="AA193" s="193"/>
      <c r="AB193" s="220"/>
      <c r="AC193" s="220"/>
      <c r="AD193" s="220"/>
      <c r="AE193" s="222"/>
      <c r="AF193" s="222"/>
      <c r="AG193" s="222"/>
    </row>
    <row r="194" spans="1:33">
      <c r="A194" s="190" t="s">
        <v>736</v>
      </c>
      <c r="B194" t="s">
        <v>636</v>
      </c>
      <c r="C194" s="190">
        <v>0</v>
      </c>
      <c r="D194" s="190">
        <v>0</v>
      </c>
      <c r="E194" s="200">
        <v>0</v>
      </c>
      <c r="F194" s="221"/>
      <c r="G194" s="221"/>
      <c r="H194" s="221"/>
      <c r="I194" s="221"/>
      <c r="J194" s="221"/>
      <c r="K194" s="221"/>
      <c r="L194" s="221"/>
      <c r="M194" s="221"/>
      <c r="N194" s="221"/>
      <c r="O194" s="221"/>
      <c r="P194" s="221"/>
      <c r="Q194" s="221"/>
      <c r="R194" s="221"/>
      <c r="S194" s="221"/>
      <c r="T194" s="221"/>
      <c r="U194" s="221"/>
      <c r="V194" s="221"/>
      <c r="W194" s="221"/>
      <c r="X194" s="221"/>
      <c r="Y194" s="221"/>
      <c r="Z194" s="221"/>
      <c r="AA194" s="221"/>
      <c r="AB194" s="193"/>
      <c r="AC194" s="220"/>
      <c r="AD194" s="220"/>
      <c r="AE194" s="222"/>
      <c r="AF194" s="222"/>
      <c r="AG194" s="222"/>
    </row>
    <row r="195" spans="1:33">
      <c r="A195" s="190" t="s">
        <v>736</v>
      </c>
      <c r="B195" t="s">
        <v>637</v>
      </c>
      <c r="C195" s="190">
        <v>0</v>
      </c>
      <c r="D195" s="190">
        <v>0</v>
      </c>
      <c r="E195" s="200">
        <v>0</v>
      </c>
      <c r="F195" s="221"/>
      <c r="G195" s="221"/>
      <c r="H195" s="221"/>
      <c r="I195" s="221"/>
      <c r="J195" s="221"/>
      <c r="K195" s="221"/>
      <c r="L195" s="221"/>
      <c r="M195" s="221"/>
      <c r="N195" s="221"/>
      <c r="O195" s="221"/>
      <c r="P195" s="221"/>
      <c r="Q195" s="221"/>
      <c r="R195" s="221"/>
      <c r="S195" s="221"/>
      <c r="T195" s="221"/>
      <c r="U195" s="221"/>
      <c r="V195" s="221"/>
      <c r="W195" s="221"/>
      <c r="X195" s="221"/>
      <c r="Y195" s="221"/>
      <c r="Z195" s="221"/>
      <c r="AA195" s="221"/>
      <c r="AB195" s="221"/>
      <c r="AC195" s="193"/>
      <c r="AD195" s="220"/>
      <c r="AE195" s="222"/>
      <c r="AF195" s="222"/>
      <c r="AG195" s="222"/>
    </row>
    <row r="196" spans="1:33">
      <c r="A196" s="190" t="s">
        <v>736</v>
      </c>
      <c r="B196" t="s">
        <v>638</v>
      </c>
      <c r="C196" s="190">
        <v>0</v>
      </c>
      <c r="D196" s="190">
        <v>0</v>
      </c>
      <c r="E196" s="200">
        <v>0</v>
      </c>
      <c r="F196" s="221"/>
      <c r="G196" s="221"/>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193"/>
      <c r="AE196" s="222"/>
      <c r="AF196" s="222"/>
      <c r="AG196" s="222"/>
    </row>
    <row r="197" spans="1:33">
      <c r="A197" s="194" t="s">
        <v>743</v>
      </c>
      <c r="B197" s="195" t="s">
        <v>219</v>
      </c>
      <c r="C197" s="190">
        <v>0</v>
      </c>
      <c r="D197" s="190">
        <v>0</v>
      </c>
      <c r="E197" s="200">
        <v>0</v>
      </c>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row>
    <row r="198" spans="1:33">
      <c r="C198" s="203"/>
    </row>
    <row r="199" spans="1:33">
      <c r="C199" s="197"/>
    </row>
    <row r="201" spans="1:33">
      <c r="B201" s="185" t="s">
        <v>425</v>
      </c>
      <c r="K201" s="218" t="s">
        <v>52</v>
      </c>
    </row>
    <row r="202" spans="1:33" ht="26.45">
      <c r="A202" s="186"/>
      <c r="B202" s="187" t="s">
        <v>713</v>
      </c>
      <c r="C202" s="865" t="s">
        <v>738</v>
      </c>
      <c r="D202" s="865" t="s">
        <v>715</v>
      </c>
      <c r="E202" s="865" t="s">
        <v>716</v>
      </c>
      <c r="F202" s="867" t="s">
        <v>717</v>
      </c>
      <c r="G202" s="868"/>
      <c r="H202" s="868"/>
      <c r="I202" s="868"/>
      <c r="J202" s="868"/>
      <c r="K202" s="868"/>
      <c r="L202" s="868"/>
      <c r="M202" s="868"/>
      <c r="N202" s="868"/>
      <c r="O202" s="868"/>
      <c r="P202" s="868"/>
      <c r="Q202" s="868"/>
      <c r="R202" s="868"/>
      <c r="S202" s="868"/>
      <c r="T202" s="868"/>
      <c r="U202" s="868"/>
      <c r="V202" s="868"/>
      <c r="W202" s="868"/>
      <c r="X202" s="868"/>
      <c r="Y202" s="868"/>
      <c r="Z202" s="868"/>
      <c r="AA202" s="868"/>
      <c r="AB202" s="868"/>
      <c r="AC202" s="868"/>
      <c r="AD202" s="869"/>
      <c r="AE202" s="219" t="s">
        <v>718</v>
      </c>
      <c r="AF202" s="219" t="s">
        <v>719</v>
      </c>
      <c r="AG202" s="219" t="s">
        <v>720</v>
      </c>
    </row>
    <row r="203" spans="1:33">
      <c r="A203" s="186"/>
      <c r="B203" s="187"/>
      <c r="C203" s="866"/>
      <c r="D203" s="866"/>
      <c r="E203" s="866"/>
      <c r="F203" s="189" t="s">
        <v>721</v>
      </c>
      <c r="G203" s="189" t="s">
        <v>722</v>
      </c>
      <c r="H203" s="189" t="s">
        <v>723</v>
      </c>
      <c r="I203" s="189" t="s">
        <v>724</v>
      </c>
      <c r="J203" s="189" t="s">
        <v>725</v>
      </c>
      <c r="K203" s="189" t="s">
        <v>726</v>
      </c>
      <c r="L203" s="189" t="s">
        <v>727</v>
      </c>
      <c r="M203" s="189" t="s">
        <v>728</v>
      </c>
      <c r="N203" s="189" t="s">
        <v>729</v>
      </c>
      <c r="O203" s="189" t="s">
        <v>730</v>
      </c>
      <c r="P203" s="189" t="s">
        <v>731</v>
      </c>
      <c r="Q203" s="189" t="s">
        <v>732</v>
      </c>
      <c r="R203" s="189" t="s">
        <v>733</v>
      </c>
      <c r="S203" s="189" t="s">
        <v>734</v>
      </c>
      <c r="T203" s="189" t="s">
        <v>548</v>
      </c>
      <c r="U203" s="189" t="s">
        <v>549</v>
      </c>
      <c r="V203" s="189" t="s">
        <v>550</v>
      </c>
      <c r="W203" s="189" t="s">
        <v>551</v>
      </c>
      <c r="X203" s="189" t="s">
        <v>552</v>
      </c>
      <c r="Y203" s="189" t="s">
        <v>101</v>
      </c>
      <c r="Z203" s="189" t="s">
        <v>56</v>
      </c>
      <c r="AA203" s="189" t="s">
        <v>57</v>
      </c>
      <c r="AB203" s="189" t="s">
        <v>58</v>
      </c>
      <c r="AC203" s="189" t="s">
        <v>59</v>
      </c>
      <c r="AD203" s="189" t="s">
        <v>60</v>
      </c>
      <c r="AE203" s="219"/>
      <c r="AF203" s="219"/>
      <c r="AG203" s="219"/>
    </row>
    <row r="204" spans="1:33">
      <c r="A204" s="190" t="s">
        <v>735</v>
      </c>
      <c r="B204" s="191">
        <v>2005</v>
      </c>
      <c r="C204" s="190">
        <v>0</v>
      </c>
      <c r="D204" s="190">
        <v>0</v>
      </c>
      <c r="E204" s="200">
        <v>0</v>
      </c>
      <c r="F204" s="192"/>
      <c r="G204" s="192"/>
      <c r="H204" s="192"/>
      <c r="I204" s="192"/>
      <c r="J204" s="192"/>
      <c r="K204" s="220"/>
      <c r="L204" s="220"/>
      <c r="M204" s="220"/>
      <c r="N204" s="220"/>
      <c r="O204" s="220"/>
      <c r="P204" s="220"/>
      <c r="Q204" s="220"/>
      <c r="R204" s="220"/>
      <c r="S204" s="220"/>
      <c r="T204" s="220"/>
      <c r="U204" s="220"/>
      <c r="V204" s="220"/>
      <c r="W204" s="220"/>
      <c r="X204" s="220"/>
      <c r="Y204" s="220"/>
      <c r="Z204" s="220"/>
      <c r="AA204" s="220"/>
      <c r="AB204" s="220"/>
      <c r="AC204" s="220"/>
      <c r="AD204" s="220"/>
      <c r="AE204" s="222"/>
      <c r="AF204" s="222"/>
      <c r="AG204" s="222"/>
    </row>
    <row r="205" spans="1:33">
      <c r="A205" s="190" t="s">
        <v>736</v>
      </c>
      <c r="B205" s="191" t="s">
        <v>721</v>
      </c>
      <c r="C205" s="190">
        <v>0</v>
      </c>
      <c r="D205" s="190">
        <v>0</v>
      </c>
      <c r="E205" s="200">
        <v>0</v>
      </c>
      <c r="F205" s="193"/>
      <c r="G205" s="220"/>
      <c r="H205" s="220"/>
      <c r="I205" s="220"/>
      <c r="J205" s="220"/>
      <c r="K205" s="220"/>
      <c r="L205" s="220"/>
      <c r="M205" s="220"/>
      <c r="N205" s="220"/>
      <c r="O205" s="220"/>
      <c r="P205" s="220"/>
      <c r="Q205" s="220"/>
      <c r="R205" s="220"/>
      <c r="S205" s="220"/>
      <c r="T205" s="220"/>
      <c r="U205" s="220"/>
      <c r="V205" s="220"/>
      <c r="W205" s="220"/>
      <c r="X205" s="220"/>
      <c r="Y205" s="220"/>
      <c r="Z205" s="220"/>
      <c r="AA205" s="220"/>
      <c r="AB205" s="220"/>
      <c r="AC205" s="220"/>
      <c r="AD205" s="220"/>
      <c r="AE205" s="222"/>
      <c r="AF205" s="222"/>
      <c r="AG205" s="222"/>
    </row>
    <row r="206" spans="1:33">
      <c r="A206" s="190" t="s">
        <v>736</v>
      </c>
      <c r="B206" s="191" t="s">
        <v>722</v>
      </c>
      <c r="C206" s="190">
        <v>0</v>
      </c>
      <c r="D206" s="190">
        <v>0</v>
      </c>
      <c r="E206" s="200">
        <v>0</v>
      </c>
      <c r="F206" s="221"/>
      <c r="G206" s="193"/>
      <c r="H206" s="220"/>
      <c r="I206" s="220"/>
      <c r="J206" s="220"/>
      <c r="K206" s="220"/>
      <c r="L206" s="220"/>
      <c r="M206" s="220"/>
      <c r="N206" s="220"/>
      <c r="O206" s="220"/>
      <c r="P206" s="220"/>
      <c r="Q206" s="220"/>
      <c r="R206" s="220"/>
      <c r="S206" s="220"/>
      <c r="T206" s="220"/>
      <c r="U206" s="220"/>
      <c r="V206" s="220"/>
      <c r="W206" s="220"/>
      <c r="X206" s="220"/>
      <c r="Y206" s="220"/>
      <c r="Z206" s="220"/>
      <c r="AA206" s="220"/>
      <c r="AB206" s="220"/>
      <c r="AC206" s="220"/>
      <c r="AD206" s="220"/>
      <c r="AE206" s="222"/>
      <c r="AF206" s="222"/>
      <c r="AG206" s="222"/>
    </row>
    <row r="207" spans="1:33">
      <c r="A207" s="190" t="s">
        <v>736</v>
      </c>
      <c r="B207" s="191" t="s">
        <v>723</v>
      </c>
      <c r="C207" s="190">
        <v>0</v>
      </c>
      <c r="D207" s="190">
        <v>0</v>
      </c>
      <c r="E207" s="200">
        <v>0</v>
      </c>
      <c r="F207" s="221"/>
      <c r="G207" s="221"/>
      <c r="H207" s="193"/>
      <c r="I207" s="220"/>
      <c r="J207" s="220"/>
      <c r="K207" s="220"/>
      <c r="L207" s="220"/>
      <c r="M207" s="220"/>
      <c r="N207" s="220"/>
      <c r="O207" s="220"/>
      <c r="P207" s="220"/>
      <c r="Q207" s="220"/>
      <c r="R207" s="220"/>
      <c r="S207" s="220"/>
      <c r="T207" s="220"/>
      <c r="U207" s="220"/>
      <c r="V207" s="220"/>
      <c r="W207" s="220"/>
      <c r="X207" s="220"/>
      <c r="Y207" s="220"/>
      <c r="Z207" s="220"/>
      <c r="AA207" s="220"/>
      <c r="AB207" s="220"/>
      <c r="AC207" s="220"/>
      <c r="AD207" s="220"/>
      <c r="AE207" s="222"/>
      <c r="AF207" s="222"/>
      <c r="AG207" s="222"/>
    </row>
    <row r="208" spans="1:33">
      <c r="A208" s="190" t="s">
        <v>736</v>
      </c>
      <c r="B208" s="191" t="s">
        <v>724</v>
      </c>
      <c r="C208" s="190">
        <v>0</v>
      </c>
      <c r="D208" s="190">
        <v>0</v>
      </c>
      <c r="E208" s="200">
        <v>0</v>
      </c>
      <c r="F208" s="221"/>
      <c r="G208" s="221"/>
      <c r="H208" s="221"/>
      <c r="I208" s="193"/>
      <c r="J208" s="220"/>
      <c r="K208" s="220"/>
      <c r="L208" s="220"/>
      <c r="M208" s="220"/>
      <c r="N208" s="220"/>
      <c r="O208" s="220"/>
      <c r="P208" s="220"/>
      <c r="Q208" s="220"/>
      <c r="R208" s="220"/>
      <c r="S208" s="220"/>
      <c r="T208" s="220"/>
      <c r="U208" s="220"/>
      <c r="V208" s="220"/>
      <c r="W208" s="220"/>
      <c r="X208" s="220"/>
      <c r="Y208" s="220"/>
      <c r="Z208" s="220"/>
      <c r="AA208" s="220"/>
      <c r="AB208" s="220"/>
      <c r="AC208" s="220"/>
      <c r="AD208" s="220"/>
      <c r="AE208" s="222"/>
      <c r="AF208" s="222"/>
      <c r="AG208" s="222"/>
    </row>
    <row r="209" spans="1:33">
      <c r="A209" s="190" t="s">
        <v>736</v>
      </c>
      <c r="B209" s="191" t="s">
        <v>725</v>
      </c>
      <c r="C209" s="190">
        <v>0</v>
      </c>
      <c r="D209" s="190">
        <v>0</v>
      </c>
      <c r="E209" s="200">
        <v>0</v>
      </c>
      <c r="F209" s="221"/>
      <c r="G209" s="221"/>
      <c r="H209" s="221"/>
      <c r="I209" s="221"/>
      <c r="J209" s="193"/>
      <c r="K209" s="220"/>
      <c r="L209" s="220"/>
      <c r="M209" s="220"/>
      <c r="N209" s="220"/>
      <c r="O209" s="220"/>
      <c r="P209" s="220"/>
      <c r="Q209" s="220"/>
      <c r="R209" s="220"/>
      <c r="S209" s="220"/>
      <c r="T209" s="220"/>
      <c r="U209" s="220"/>
      <c r="V209" s="220"/>
      <c r="W209" s="220"/>
      <c r="X209" s="220"/>
      <c r="Y209" s="220"/>
      <c r="Z209" s="220"/>
      <c r="AA209" s="220"/>
      <c r="AB209" s="220"/>
      <c r="AC209" s="220"/>
      <c r="AD209" s="220"/>
      <c r="AE209" s="222"/>
      <c r="AF209" s="222"/>
      <c r="AG209" s="222"/>
    </row>
    <row r="210" spans="1:33">
      <c r="A210" s="190" t="s">
        <v>736</v>
      </c>
      <c r="B210" s="191" t="s">
        <v>726</v>
      </c>
      <c r="C210" s="190">
        <v>0</v>
      </c>
      <c r="D210" s="190">
        <v>0</v>
      </c>
      <c r="E210" s="200">
        <v>0</v>
      </c>
      <c r="F210" s="221"/>
      <c r="G210" s="221"/>
      <c r="H210" s="221"/>
      <c r="I210" s="221"/>
      <c r="J210" s="221"/>
      <c r="K210" s="193"/>
      <c r="L210" s="220"/>
      <c r="M210" s="220"/>
      <c r="N210" s="220"/>
      <c r="O210" s="220"/>
      <c r="P210" s="220"/>
      <c r="Q210" s="220"/>
      <c r="R210" s="220"/>
      <c r="S210" s="220"/>
      <c r="T210" s="220"/>
      <c r="U210" s="220"/>
      <c r="V210" s="220"/>
      <c r="W210" s="220"/>
      <c r="X210" s="220"/>
      <c r="Y210" s="220"/>
      <c r="Z210" s="220"/>
      <c r="AA210" s="220"/>
      <c r="AB210" s="220"/>
      <c r="AC210" s="220"/>
      <c r="AD210" s="220"/>
      <c r="AE210" s="222"/>
      <c r="AF210" s="222"/>
      <c r="AG210" s="222"/>
    </row>
    <row r="211" spans="1:33">
      <c r="A211" s="190" t="s">
        <v>736</v>
      </c>
      <c r="B211" s="191" t="s">
        <v>727</v>
      </c>
      <c r="C211" s="190">
        <v>0</v>
      </c>
      <c r="D211" s="190">
        <v>0</v>
      </c>
      <c r="E211" s="200">
        <v>0</v>
      </c>
      <c r="F211" s="221"/>
      <c r="G211" s="221"/>
      <c r="H211" s="221"/>
      <c r="I211" s="221"/>
      <c r="J211" s="221"/>
      <c r="K211" s="221"/>
      <c r="L211" s="193"/>
      <c r="M211" s="220"/>
      <c r="N211" s="220"/>
      <c r="O211" s="220"/>
      <c r="P211" s="220"/>
      <c r="Q211" s="220"/>
      <c r="R211" s="220"/>
      <c r="S211" s="220"/>
      <c r="T211" s="220"/>
      <c r="U211" s="220"/>
      <c r="V211" s="220"/>
      <c r="W211" s="220"/>
      <c r="X211" s="220"/>
      <c r="Y211" s="220"/>
      <c r="Z211" s="220"/>
      <c r="AA211" s="220"/>
      <c r="AB211" s="220"/>
      <c r="AC211" s="220"/>
      <c r="AD211" s="220"/>
      <c r="AE211" s="222"/>
      <c r="AF211" s="222"/>
      <c r="AG211" s="222"/>
    </row>
    <row r="212" spans="1:33">
      <c r="A212" s="190" t="s">
        <v>736</v>
      </c>
      <c r="B212" s="191" t="s">
        <v>728</v>
      </c>
      <c r="C212" s="190">
        <v>0</v>
      </c>
      <c r="D212" s="190">
        <v>0</v>
      </c>
      <c r="E212" s="200">
        <v>0</v>
      </c>
      <c r="F212" s="221"/>
      <c r="G212" s="221"/>
      <c r="H212" s="221"/>
      <c r="I212" s="221"/>
      <c r="J212" s="221"/>
      <c r="K212" s="221"/>
      <c r="L212" s="221"/>
      <c r="M212" s="193"/>
      <c r="N212" s="220"/>
      <c r="O212" s="220"/>
      <c r="P212" s="220"/>
      <c r="Q212" s="220"/>
      <c r="R212" s="220"/>
      <c r="S212" s="220"/>
      <c r="T212" s="220"/>
      <c r="U212" s="220"/>
      <c r="V212" s="220"/>
      <c r="W212" s="220"/>
      <c r="X212" s="220"/>
      <c r="Y212" s="220"/>
      <c r="Z212" s="220"/>
      <c r="AA212" s="220"/>
      <c r="AB212" s="220"/>
      <c r="AC212" s="220"/>
      <c r="AD212" s="220"/>
      <c r="AE212" s="222"/>
      <c r="AF212" s="222"/>
      <c r="AG212" s="222"/>
    </row>
    <row r="213" spans="1:33">
      <c r="A213" s="190" t="s">
        <v>736</v>
      </c>
      <c r="B213" s="191" t="s">
        <v>729</v>
      </c>
      <c r="C213" s="190">
        <v>0</v>
      </c>
      <c r="D213" s="190">
        <v>0</v>
      </c>
      <c r="E213" s="200">
        <v>0</v>
      </c>
      <c r="F213" s="221"/>
      <c r="G213" s="221"/>
      <c r="H213" s="221"/>
      <c r="I213" s="221"/>
      <c r="J213" s="221"/>
      <c r="K213" s="221"/>
      <c r="L213" s="221"/>
      <c r="M213" s="221"/>
      <c r="N213" s="193"/>
      <c r="O213" s="220"/>
      <c r="P213" s="220"/>
      <c r="Q213" s="220"/>
      <c r="R213" s="220"/>
      <c r="S213" s="220"/>
      <c r="T213" s="220"/>
      <c r="U213" s="220"/>
      <c r="V213" s="220"/>
      <c r="W213" s="220"/>
      <c r="X213" s="220"/>
      <c r="Y213" s="220"/>
      <c r="Z213" s="220"/>
      <c r="AA213" s="220"/>
      <c r="AB213" s="220"/>
      <c r="AC213" s="220"/>
      <c r="AD213" s="220"/>
      <c r="AE213" s="222"/>
      <c r="AF213" s="222"/>
      <c r="AG213" s="222"/>
    </row>
    <row r="214" spans="1:33">
      <c r="A214" s="190" t="s">
        <v>736</v>
      </c>
      <c r="B214" s="191" t="s">
        <v>730</v>
      </c>
      <c r="C214" s="190">
        <v>0</v>
      </c>
      <c r="D214" s="190">
        <v>0</v>
      </c>
      <c r="E214" s="200">
        <v>0</v>
      </c>
      <c r="F214" s="221"/>
      <c r="G214" s="221"/>
      <c r="H214" s="221"/>
      <c r="I214" s="221"/>
      <c r="J214" s="221"/>
      <c r="K214" s="221"/>
      <c r="L214" s="221"/>
      <c r="M214" s="221"/>
      <c r="N214" s="221"/>
      <c r="O214" s="193"/>
      <c r="P214" s="220"/>
      <c r="Q214" s="220"/>
      <c r="R214" s="220"/>
      <c r="S214" s="220"/>
      <c r="T214" s="220"/>
      <c r="U214" s="220"/>
      <c r="V214" s="220"/>
      <c r="W214" s="220"/>
      <c r="X214" s="220"/>
      <c r="Y214" s="220"/>
      <c r="Z214" s="220"/>
      <c r="AA214" s="220"/>
      <c r="AB214" s="220"/>
      <c r="AC214" s="220"/>
      <c r="AD214" s="220"/>
      <c r="AE214" s="222"/>
      <c r="AF214" s="222"/>
      <c r="AG214" s="222"/>
    </row>
    <row r="215" spans="1:33">
      <c r="A215" s="190" t="s">
        <v>736</v>
      </c>
      <c r="B215" s="191" t="s">
        <v>731</v>
      </c>
      <c r="C215" s="190">
        <v>0</v>
      </c>
      <c r="D215" s="190">
        <v>0</v>
      </c>
      <c r="E215" s="200">
        <v>0</v>
      </c>
      <c r="F215" s="221"/>
      <c r="G215" s="221"/>
      <c r="H215" s="221"/>
      <c r="I215" s="221"/>
      <c r="J215" s="221"/>
      <c r="K215" s="221"/>
      <c r="L215" s="221"/>
      <c r="M215" s="221"/>
      <c r="N215" s="221"/>
      <c r="O215" s="221"/>
      <c r="P215" s="193"/>
      <c r="Q215" s="220"/>
      <c r="R215" s="220"/>
      <c r="S215" s="220"/>
      <c r="T215" s="220"/>
      <c r="U215" s="220"/>
      <c r="V215" s="220"/>
      <c r="W215" s="220"/>
      <c r="X215" s="220"/>
      <c r="Y215" s="220"/>
      <c r="Z215" s="220"/>
      <c r="AA215" s="220"/>
      <c r="AB215" s="220"/>
      <c r="AC215" s="220"/>
      <c r="AD215" s="220"/>
      <c r="AE215" s="222"/>
      <c r="AF215" s="222"/>
      <c r="AG215" s="222"/>
    </row>
    <row r="216" spans="1:33">
      <c r="A216" s="190" t="s">
        <v>736</v>
      </c>
      <c r="B216" s="191" t="s">
        <v>732</v>
      </c>
      <c r="C216" s="190">
        <v>0</v>
      </c>
      <c r="D216" s="190">
        <v>0</v>
      </c>
      <c r="E216" s="200">
        <v>0</v>
      </c>
      <c r="F216" s="221"/>
      <c r="G216" s="221"/>
      <c r="H216" s="221"/>
      <c r="I216" s="221"/>
      <c r="J216" s="221"/>
      <c r="K216" s="221"/>
      <c r="L216" s="221"/>
      <c r="M216" s="221"/>
      <c r="N216" s="221"/>
      <c r="O216" s="221"/>
      <c r="P216" s="221"/>
      <c r="Q216" s="193"/>
      <c r="R216" s="220"/>
      <c r="S216" s="220"/>
      <c r="T216" s="220"/>
      <c r="U216" s="220"/>
      <c r="V216" s="220"/>
      <c r="W216" s="220"/>
      <c r="X216" s="220"/>
      <c r="Y216" s="220"/>
      <c r="Z216" s="220"/>
      <c r="AA216" s="220"/>
      <c r="AB216" s="220"/>
      <c r="AC216" s="220"/>
      <c r="AD216" s="220"/>
      <c r="AE216" s="222"/>
      <c r="AF216" s="222"/>
      <c r="AG216" s="222"/>
    </row>
    <row r="217" spans="1:33">
      <c r="A217" s="190" t="s">
        <v>736</v>
      </c>
      <c r="B217" s="191" t="s">
        <v>733</v>
      </c>
      <c r="C217" s="190">
        <v>0</v>
      </c>
      <c r="D217" s="190">
        <v>0</v>
      </c>
      <c r="E217" s="200">
        <v>0</v>
      </c>
      <c r="F217" s="221"/>
      <c r="G217" s="221"/>
      <c r="H217" s="221"/>
      <c r="I217" s="221"/>
      <c r="J217" s="221"/>
      <c r="K217" s="221"/>
      <c r="L217" s="221"/>
      <c r="M217" s="221"/>
      <c r="N217" s="221"/>
      <c r="O217" s="221"/>
      <c r="P217" s="221"/>
      <c r="Q217" s="221"/>
      <c r="R217" s="193"/>
      <c r="S217" s="220"/>
      <c r="T217" s="220"/>
      <c r="U217" s="220"/>
      <c r="V217" s="220"/>
      <c r="W217" s="220"/>
      <c r="X217" s="220"/>
      <c r="Y217" s="220"/>
      <c r="Z217" s="220"/>
      <c r="AA217" s="220"/>
      <c r="AB217" s="220"/>
      <c r="AC217" s="220"/>
      <c r="AD217" s="220"/>
      <c r="AE217" s="222"/>
      <c r="AF217" s="222"/>
      <c r="AG217" s="222"/>
    </row>
    <row r="218" spans="1:33">
      <c r="A218" s="190" t="s">
        <v>736</v>
      </c>
      <c r="B218" s="191" t="s">
        <v>734</v>
      </c>
      <c r="C218" s="190">
        <v>0</v>
      </c>
      <c r="D218" s="190">
        <v>0</v>
      </c>
      <c r="E218" s="200">
        <v>0</v>
      </c>
      <c r="F218" s="221"/>
      <c r="G218" s="221"/>
      <c r="H218" s="221"/>
      <c r="I218" s="221"/>
      <c r="J218" s="221"/>
      <c r="K218" s="221"/>
      <c r="L218" s="221"/>
      <c r="M218" s="221"/>
      <c r="N218" s="221"/>
      <c r="O218" s="221"/>
      <c r="P218" s="221"/>
      <c r="Q218" s="221"/>
      <c r="R218" s="221"/>
      <c r="S218" s="193"/>
      <c r="T218" s="220"/>
      <c r="U218" s="220"/>
      <c r="V218" s="220"/>
      <c r="W218" s="220"/>
      <c r="X218" s="220"/>
      <c r="Y218" s="220"/>
      <c r="Z218" s="220"/>
      <c r="AA218" s="220"/>
      <c r="AB218" s="220"/>
      <c r="AC218" s="220"/>
      <c r="AD218" s="220"/>
      <c r="AE218" s="222"/>
      <c r="AF218" s="222"/>
      <c r="AG218" s="222"/>
    </row>
    <row r="219" spans="1:33">
      <c r="A219" s="190" t="s">
        <v>736</v>
      </c>
      <c r="B219" s="191" t="s">
        <v>548</v>
      </c>
      <c r="C219" s="190">
        <v>0</v>
      </c>
      <c r="D219" s="190">
        <v>0</v>
      </c>
      <c r="E219" s="200">
        <v>0</v>
      </c>
      <c r="F219" s="221"/>
      <c r="G219" s="221"/>
      <c r="H219" s="221"/>
      <c r="I219" s="221"/>
      <c r="J219" s="221"/>
      <c r="K219" s="221"/>
      <c r="L219" s="221"/>
      <c r="M219" s="221"/>
      <c r="N219" s="221"/>
      <c r="O219" s="221"/>
      <c r="P219" s="221"/>
      <c r="Q219" s="221"/>
      <c r="R219" s="221"/>
      <c r="S219" s="221"/>
      <c r="T219" s="193"/>
      <c r="U219" s="220"/>
      <c r="V219" s="220"/>
      <c r="W219" s="220"/>
      <c r="X219" s="220"/>
      <c r="Y219" s="220"/>
      <c r="Z219" s="220"/>
      <c r="AA219" s="220"/>
      <c r="AB219" s="220"/>
      <c r="AC219" s="220"/>
      <c r="AD219" s="220"/>
      <c r="AE219" s="222"/>
      <c r="AF219" s="222"/>
      <c r="AG219" s="222"/>
    </row>
    <row r="220" spans="1:33">
      <c r="A220" s="190" t="s">
        <v>736</v>
      </c>
      <c r="B220" s="191" t="s">
        <v>549</v>
      </c>
      <c r="C220" s="190">
        <v>0</v>
      </c>
      <c r="D220" s="190">
        <v>0</v>
      </c>
      <c r="E220" s="200">
        <v>0</v>
      </c>
      <c r="F220" s="221"/>
      <c r="G220" s="221"/>
      <c r="H220" s="221"/>
      <c r="I220" s="221"/>
      <c r="J220" s="221"/>
      <c r="K220" s="221"/>
      <c r="L220" s="221"/>
      <c r="M220" s="221"/>
      <c r="N220" s="221"/>
      <c r="O220" s="221"/>
      <c r="P220" s="221"/>
      <c r="Q220" s="221"/>
      <c r="R220" s="221"/>
      <c r="S220" s="221"/>
      <c r="T220" s="221"/>
      <c r="U220" s="193"/>
      <c r="V220" s="220"/>
      <c r="W220" s="220"/>
      <c r="X220" s="220"/>
      <c r="Y220" s="220"/>
      <c r="Z220" s="220"/>
      <c r="AA220" s="220"/>
      <c r="AB220" s="220"/>
      <c r="AC220" s="220"/>
      <c r="AD220" s="220"/>
      <c r="AE220" s="222"/>
      <c r="AF220" s="222"/>
      <c r="AG220" s="222"/>
    </row>
    <row r="221" spans="1:33">
      <c r="A221" s="190" t="s">
        <v>736</v>
      </c>
      <c r="B221" s="191" t="s">
        <v>550</v>
      </c>
      <c r="C221" s="192">
        <v>979982</v>
      </c>
      <c r="D221" s="192">
        <v>93098.29</v>
      </c>
      <c r="E221" s="200">
        <v>9.5000000000000001E-2</v>
      </c>
      <c r="F221" s="221"/>
      <c r="G221" s="221"/>
      <c r="H221" s="221"/>
      <c r="I221" s="221"/>
      <c r="J221" s="221"/>
      <c r="K221" s="221"/>
      <c r="L221" s="221"/>
      <c r="M221" s="221"/>
      <c r="N221" s="221"/>
      <c r="O221" s="221"/>
      <c r="P221" s="221"/>
      <c r="Q221" s="221"/>
      <c r="R221" s="221"/>
      <c r="S221" s="221"/>
      <c r="T221" s="221"/>
      <c r="U221" s="221"/>
      <c r="V221" s="193">
        <f>D221</f>
        <v>93098.29</v>
      </c>
      <c r="W221" s="220"/>
      <c r="X221" s="220"/>
      <c r="Y221" s="220"/>
      <c r="Z221" s="220"/>
      <c r="AA221" s="220"/>
      <c r="AB221" s="220"/>
      <c r="AC221" s="220"/>
      <c r="AD221" s="220"/>
      <c r="AE221" s="222">
        <f>V221</f>
        <v>93098.29</v>
      </c>
      <c r="AF221" s="222"/>
      <c r="AG221" s="222">
        <f>C221-AE221</f>
        <v>886883.71</v>
      </c>
    </row>
    <row r="222" spans="1:33">
      <c r="A222" s="190" t="s">
        <v>736</v>
      </c>
      <c r="B222" s="191" t="s">
        <v>551</v>
      </c>
      <c r="C222" s="192">
        <f t="shared" ref="C222:C229" si="0">C221-D221</f>
        <v>886883.71</v>
      </c>
      <c r="D222" s="192">
        <v>93098.29</v>
      </c>
      <c r="E222" s="200">
        <v>9.5000000000000001E-2</v>
      </c>
      <c r="F222" s="221"/>
      <c r="G222" s="221"/>
      <c r="H222" s="221"/>
      <c r="I222" s="221"/>
      <c r="J222" s="221"/>
      <c r="K222" s="221"/>
      <c r="L222" s="221"/>
      <c r="M222" s="221"/>
      <c r="N222" s="221"/>
      <c r="O222" s="221"/>
      <c r="P222" s="221"/>
      <c r="Q222" s="221"/>
      <c r="R222" s="221"/>
      <c r="S222" s="221"/>
      <c r="T222" s="221"/>
      <c r="U222" s="221"/>
      <c r="V222" s="221"/>
      <c r="W222" s="193">
        <f>D222</f>
        <v>93098.29</v>
      </c>
      <c r="X222" s="220"/>
      <c r="Y222" s="220"/>
      <c r="Z222" s="220"/>
      <c r="AA222" s="220"/>
      <c r="AB222" s="220"/>
      <c r="AC222" s="220"/>
      <c r="AD222" s="220"/>
      <c r="AE222" s="222">
        <f>W222</f>
        <v>93098.29</v>
      </c>
      <c r="AF222" s="222"/>
      <c r="AG222" s="222">
        <f t="shared" ref="AG222:AG229" si="1">C222-AE222</f>
        <v>793785.41999999993</v>
      </c>
    </row>
    <row r="223" spans="1:33">
      <c r="A223" s="190" t="s">
        <v>736</v>
      </c>
      <c r="B223" s="191" t="s">
        <v>552</v>
      </c>
      <c r="C223" s="192">
        <f t="shared" si="0"/>
        <v>793785.41999999993</v>
      </c>
      <c r="D223" s="192">
        <v>93098.29</v>
      </c>
      <c r="E223" s="200">
        <v>9.5000000000000001E-2</v>
      </c>
      <c r="F223" s="221"/>
      <c r="G223" s="221"/>
      <c r="H223" s="221"/>
      <c r="I223" s="221"/>
      <c r="J223" s="221"/>
      <c r="K223" s="221"/>
      <c r="L223" s="221"/>
      <c r="M223" s="221"/>
      <c r="N223" s="221"/>
      <c r="O223" s="221"/>
      <c r="P223" s="221"/>
      <c r="Q223" s="221"/>
      <c r="R223" s="221"/>
      <c r="S223" s="221"/>
      <c r="T223" s="221"/>
      <c r="U223" s="221"/>
      <c r="V223" s="221"/>
      <c r="W223" s="221"/>
      <c r="X223" s="193">
        <f>D223</f>
        <v>93098.29</v>
      </c>
      <c r="Y223" s="220"/>
      <c r="Z223" s="220"/>
      <c r="AA223" s="220"/>
      <c r="AB223" s="220"/>
      <c r="AC223" s="220"/>
      <c r="AD223" s="220"/>
      <c r="AE223" s="222">
        <f>X223</f>
        <v>93098.29</v>
      </c>
      <c r="AF223" s="222"/>
      <c r="AG223" s="222">
        <f t="shared" si="1"/>
        <v>700687.12999999989</v>
      </c>
    </row>
    <row r="224" spans="1:33">
      <c r="A224" s="190" t="s">
        <v>736</v>
      </c>
      <c r="B224" s="191" t="s">
        <v>553</v>
      </c>
      <c r="C224" s="192">
        <f t="shared" si="0"/>
        <v>700687.12999999989</v>
      </c>
      <c r="D224" s="192">
        <v>93098.29</v>
      </c>
      <c r="E224" s="200">
        <v>9.5000000000000001E-2</v>
      </c>
      <c r="F224" s="221"/>
      <c r="G224" s="221"/>
      <c r="H224" s="221"/>
      <c r="I224" s="221"/>
      <c r="J224" s="221"/>
      <c r="K224" s="221"/>
      <c r="L224" s="221"/>
      <c r="M224" s="221"/>
      <c r="N224" s="221"/>
      <c r="O224" s="221"/>
      <c r="P224" s="221"/>
      <c r="Q224" s="221"/>
      <c r="R224" s="221"/>
      <c r="S224" s="221"/>
      <c r="T224" s="221"/>
      <c r="U224" s="221"/>
      <c r="V224" s="221"/>
      <c r="W224" s="221"/>
      <c r="X224" s="221"/>
      <c r="Y224" s="193">
        <f>D224</f>
        <v>93098.29</v>
      </c>
      <c r="Z224" s="220"/>
      <c r="AA224" s="220"/>
      <c r="AB224" s="220"/>
      <c r="AC224" s="220"/>
      <c r="AD224" s="220"/>
      <c r="AE224" s="222">
        <f>Y224</f>
        <v>93098.29</v>
      </c>
      <c r="AF224" s="222"/>
      <c r="AG224" s="222">
        <f t="shared" si="1"/>
        <v>607588.83999999985</v>
      </c>
    </row>
    <row r="225" spans="1:33">
      <c r="A225" s="190" t="s">
        <v>736</v>
      </c>
      <c r="B225" t="s">
        <v>634</v>
      </c>
      <c r="C225" s="192">
        <f t="shared" si="0"/>
        <v>607588.83999999985</v>
      </c>
      <c r="D225" s="192">
        <v>93098.29</v>
      </c>
      <c r="E225" s="200">
        <v>9.5000000000000001E-2</v>
      </c>
      <c r="F225" s="221"/>
      <c r="G225" s="221"/>
      <c r="H225" s="221"/>
      <c r="I225" s="221"/>
      <c r="J225" s="221"/>
      <c r="K225" s="221"/>
      <c r="L225" s="221"/>
      <c r="M225" s="221"/>
      <c r="N225" s="221"/>
      <c r="O225" s="221"/>
      <c r="P225" s="221"/>
      <c r="Q225" s="221"/>
      <c r="R225" s="221"/>
      <c r="S225" s="221"/>
      <c r="T225" s="221"/>
      <c r="U225" s="221"/>
      <c r="V225" s="221"/>
      <c r="W225" s="221"/>
      <c r="X225" s="221"/>
      <c r="Y225" s="221"/>
      <c r="Z225" s="193">
        <f>D225</f>
        <v>93098.29</v>
      </c>
      <c r="AA225" s="220"/>
      <c r="AB225" s="220"/>
      <c r="AC225" s="220"/>
      <c r="AD225" s="220"/>
      <c r="AE225" s="222">
        <f>Z225</f>
        <v>93098.29</v>
      </c>
      <c r="AF225" s="222"/>
      <c r="AG225" s="222">
        <f t="shared" si="1"/>
        <v>514490.54999999987</v>
      </c>
    </row>
    <row r="226" spans="1:33">
      <c r="A226" s="190" t="s">
        <v>736</v>
      </c>
      <c r="B226" t="s">
        <v>635</v>
      </c>
      <c r="C226" s="192">
        <f t="shared" si="0"/>
        <v>514490.54999999987</v>
      </c>
      <c r="D226" s="192">
        <v>93098.29</v>
      </c>
      <c r="E226" s="200">
        <v>9.5000000000000001E-2</v>
      </c>
      <c r="F226" s="221"/>
      <c r="G226" s="221"/>
      <c r="H226" s="221"/>
      <c r="I226" s="221"/>
      <c r="J226" s="221"/>
      <c r="K226" s="221"/>
      <c r="L226" s="221"/>
      <c r="M226" s="221"/>
      <c r="N226" s="221"/>
      <c r="O226" s="221"/>
      <c r="P226" s="221"/>
      <c r="Q226" s="221"/>
      <c r="R226" s="221"/>
      <c r="S226" s="221"/>
      <c r="T226" s="221"/>
      <c r="U226" s="221"/>
      <c r="V226" s="221"/>
      <c r="W226" s="221"/>
      <c r="X226" s="221"/>
      <c r="Y226" s="221"/>
      <c r="Z226" s="221"/>
      <c r="AA226" s="193">
        <f>D226</f>
        <v>93098.29</v>
      </c>
      <c r="AB226" s="220"/>
      <c r="AC226" s="220"/>
      <c r="AD226" s="220"/>
      <c r="AE226" s="222">
        <f>AA226</f>
        <v>93098.29</v>
      </c>
      <c r="AF226" s="222"/>
      <c r="AG226" s="222">
        <f t="shared" si="1"/>
        <v>421392.25999999989</v>
      </c>
    </row>
    <row r="227" spans="1:33">
      <c r="A227" s="190" t="s">
        <v>736</v>
      </c>
      <c r="B227" t="s">
        <v>636</v>
      </c>
      <c r="C227" s="192">
        <f t="shared" si="0"/>
        <v>421392.25999999989</v>
      </c>
      <c r="D227" s="192">
        <v>93098.29</v>
      </c>
      <c r="E227" s="200">
        <v>9.5000000000000001E-2</v>
      </c>
      <c r="F227" s="221"/>
      <c r="G227" s="221"/>
      <c r="H227" s="221"/>
      <c r="I227" s="221"/>
      <c r="J227" s="221"/>
      <c r="K227" s="221"/>
      <c r="L227" s="221"/>
      <c r="M227" s="221"/>
      <c r="N227" s="221"/>
      <c r="O227" s="221"/>
      <c r="P227" s="221"/>
      <c r="Q227" s="221"/>
      <c r="R227" s="221"/>
      <c r="S227" s="221"/>
      <c r="T227" s="221"/>
      <c r="U227" s="221"/>
      <c r="V227" s="221"/>
      <c r="W227" s="221"/>
      <c r="X227" s="221"/>
      <c r="Y227" s="221"/>
      <c r="Z227" s="221"/>
      <c r="AA227" s="221"/>
      <c r="AB227" s="193">
        <f>D227</f>
        <v>93098.29</v>
      </c>
      <c r="AC227" s="220"/>
      <c r="AD227" s="220"/>
      <c r="AE227" s="222">
        <f>AB227</f>
        <v>93098.29</v>
      </c>
      <c r="AF227" s="222"/>
      <c r="AG227" s="222">
        <f t="shared" si="1"/>
        <v>328293.96999999991</v>
      </c>
    </row>
    <row r="228" spans="1:33">
      <c r="A228" s="190" t="s">
        <v>736</v>
      </c>
      <c r="B228" t="s">
        <v>637</v>
      </c>
      <c r="C228" s="192">
        <f t="shared" si="0"/>
        <v>328293.96999999991</v>
      </c>
      <c r="D228" s="192">
        <v>93098.29</v>
      </c>
      <c r="E228" s="200">
        <v>9.5000000000000001E-2</v>
      </c>
      <c r="F228" s="221"/>
      <c r="G228" s="221"/>
      <c r="H228" s="221"/>
      <c r="I228" s="221"/>
      <c r="J228" s="221"/>
      <c r="K228" s="221"/>
      <c r="L228" s="221"/>
      <c r="M228" s="221"/>
      <c r="N228" s="221"/>
      <c r="O228" s="221"/>
      <c r="P228" s="221"/>
      <c r="Q228" s="221"/>
      <c r="R228" s="221"/>
      <c r="S228" s="221"/>
      <c r="T228" s="221"/>
      <c r="U228" s="221"/>
      <c r="V228" s="221"/>
      <c r="W228" s="221"/>
      <c r="X228" s="221"/>
      <c r="Y228" s="221"/>
      <c r="Z228" s="221"/>
      <c r="AA228" s="221"/>
      <c r="AB228" s="221"/>
      <c r="AC228" s="193">
        <f>D228</f>
        <v>93098.29</v>
      </c>
      <c r="AD228" s="220"/>
      <c r="AE228" s="222">
        <f>AC228</f>
        <v>93098.29</v>
      </c>
      <c r="AF228" s="222"/>
      <c r="AG228" s="222">
        <f t="shared" si="1"/>
        <v>235195.67999999993</v>
      </c>
    </row>
    <row r="229" spans="1:33">
      <c r="A229" s="190" t="s">
        <v>736</v>
      </c>
      <c r="B229" t="s">
        <v>638</v>
      </c>
      <c r="C229" s="192">
        <f t="shared" si="0"/>
        <v>235195.67999999993</v>
      </c>
      <c r="D229" s="192">
        <v>93098.29</v>
      </c>
      <c r="E229" s="200">
        <v>9.5000000000000001E-2</v>
      </c>
      <c r="F229" s="221"/>
      <c r="G229" s="221"/>
      <c r="H229" s="221"/>
      <c r="I229" s="221"/>
      <c r="J229" s="221"/>
      <c r="K229" s="221"/>
      <c r="L229" s="221"/>
      <c r="M229" s="221"/>
      <c r="N229" s="221"/>
      <c r="O229" s="221"/>
      <c r="P229" s="221"/>
      <c r="Q229" s="221"/>
      <c r="R229" s="221"/>
      <c r="S229" s="221"/>
      <c r="T229" s="221"/>
      <c r="U229" s="221"/>
      <c r="V229" s="221"/>
      <c r="W229" s="221"/>
      <c r="X229" s="221"/>
      <c r="Y229" s="221"/>
      <c r="Z229" s="221"/>
      <c r="AA229" s="221"/>
      <c r="AB229" s="221"/>
      <c r="AC229" s="221"/>
      <c r="AD229" s="193">
        <f>D229</f>
        <v>93098.29</v>
      </c>
      <c r="AE229" s="222">
        <f>AD229</f>
        <v>93098.29</v>
      </c>
      <c r="AF229" s="222"/>
      <c r="AG229" s="222">
        <f t="shared" si="1"/>
        <v>142097.38999999996</v>
      </c>
    </row>
    <row r="230" spans="1:33">
      <c r="A230" s="194"/>
      <c r="B230" s="195" t="s">
        <v>219</v>
      </c>
      <c r="C230" s="196"/>
      <c r="D230" s="196">
        <f>SUM(D204:D229)</f>
        <v>837884.6100000001</v>
      </c>
      <c r="E230" s="196"/>
      <c r="F230" s="196"/>
      <c r="G230" s="196"/>
      <c r="H230" s="196"/>
      <c r="I230" s="196"/>
      <c r="J230" s="196"/>
      <c r="K230" s="196"/>
      <c r="L230" s="196"/>
      <c r="M230" s="196"/>
      <c r="N230" s="196"/>
      <c r="O230" s="196"/>
      <c r="P230" s="196"/>
      <c r="Q230" s="196"/>
      <c r="R230" s="196"/>
      <c r="S230" s="196"/>
      <c r="T230" s="196"/>
      <c r="U230" s="196"/>
      <c r="V230" s="196"/>
      <c r="W230" s="196"/>
      <c r="X230" s="196"/>
      <c r="Y230" s="196"/>
      <c r="Z230" s="196"/>
      <c r="AA230" s="196"/>
      <c r="AB230" s="196"/>
      <c r="AC230" s="196"/>
      <c r="AD230" s="196"/>
      <c r="AE230" s="196"/>
      <c r="AF230" s="196"/>
      <c r="AG230" s="196"/>
    </row>
    <row r="231" spans="1:33">
      <c r="C231" s="203"/>
    </row>
    <row r="234" spans="1:33">
      <c r="B234" s="185" t="s">
        <v>744</v>
      </c>
      <c r="K234" s="218" t="s">
        <v>52</v>
      </c>
    </row>
    <row r="235" spans="1:33" ht="26.45">
      <c r="A235" s="186"/>
      <c r="B235" s="187" t="s">
        <v>713</v>
      </c>
      <c r="C235" s="865" t="s">
        <v>738</v>
      </c>
      <c r="D235" s="865" t="s">
        <v>715</v>
      </c>
      <c r="E235" s="865" t="s">
        <v>716</v>
      </c>
      <c r="F235" s="867" t="s">
        <v>717</v>
      </c>
      <c r="G235" s="868"/>
      <c r="H235" s="868"/>
      <c r="I235" s="868"/>
      <c r="J235" s="868"/>
      <c r="K235" s="868"/>
      <c r="L235" s="868"/>
      <c r="M235" s="868"/>
      <c r="N235" s="868"/>
      <c r="O235" s="868"/>
      <c r="P235" s="868"/>
      <c r="Q235" s="868"/>
      <c r="R235" s="868"/>
      <c r="S235" s="868"/>
      <c r="T235" s="868"/>
      <c r="U235" s="868"/>
      <c r="V235" s="868"/>
      <c r="W235" s="868"/>
      <c r="X235" s="868"/>
      <c r="Y235" s="868"/>
      <c r="Z235" s="868"/>
      <c r="AA235" s="868"/>
      <c r="AB235" s="868"/>
      <c r="AC235" s="868"/>
      <c r="AD235" s="869"/>
      <c r="AE235" s="219" t="s">
        <v>718</v>
      </c>
      <c r="AF235" s="219" t="s">
        <v>719</v>
      </c>
      <c r="AG235" s="219" t="s">
        <v>720</v>
      </c>
    </row>
    <row r="236" spans="1:33">
      <c r="A236" s="186"/>
      <c r="B236" s="187"/>
      <c r="C236" s="866"/>
      <c r="D236" s="866"/>
      <c r="E236" s="866"/>
      <c r="F236" s="189" t="s">
        <v>721</v>
      </c>
      <c r="G236" s="189" t="s">
        <v>722</v>
      </c>
      <c r="H236" s="189" t="s">
        <v>723</v>
      </c>
      <c r="I236" s="189" t="s">
        <v>724</v>
      </c>
      <c r="J236" s="189" t="s">
        <v>725</v>
      </c>
      <c r="K236" s="189" t="s">
        <v>726</v>
      </c>
      <c r="L236" s="189" t="s">
        <v>727</v>
      </c>
      <c r="M236" s="189" t="s">
        <v>728</v>
      </c>
      <c r="N236" s="189" t="s">
        <v>729</v>
      </c>
      <c r="O236" s="189" t="s">
        <v>730</v>
      </c>
      <c r="P236" s="189" t="s">
        <v>731</v>
      </c>
      <c r="Q236" s="189" t="s">
        <v>732</v>
      </c>
      <c r="R236" s="189" t="s">
        <v>733</v>
      </c>
      <c r="S236" s="189" t="s">
        <v>734</v>
      </c>
      <c r="T236" s="189" t="s">
        <v>548</v>
      </c>
      <c r="U236" s="189" t="s">
        <v>549</v>
      </c>
      <c r="V236" s="189" t="s">
        <v>550</v>
      </c>
      <c r="W236" s="189" t="s">
        <v>551</v>
      </c>
      <c r="X236" s="189" t="s">
        <v>552</v>
      </c>
      <c r="Y236" s="189" t="s">
        <v>101</v>
      </c>
      <c r="Z236" s="189" t="s">
        <v>56</v>
      </c>
      <c r="AA236" s="189" t="s">
        <v>57</v>
      </c>
      <c r="AB236" s="189" t="s">
        <v>58</v>
      </c>
      <c r="AC236" s="189" t="s">
        <v>59</v>
      </c>
      <c r="AD236" s="189" t="s">
        <v>60</v>
      </c>
      <c r="AE236" s="219"/>
      <c r="AF236" s="219"/>
      <c r="AG236" s="219"/>
    </row>
    <row r="237" spans="1:33">
      <c r="A237" s="190" t="s">
        <v>735</v>
      </c>
      <c r="B237" s="191">
        <v>2005</v>
      </c>
      <c r="C237" s="190">
        <v>0</v>
      </c>
      <c r="D237" s="190">
        <v>0</v>
      </c>
      <c r="E237" s="200">
        <v>0</v>
      </c>
      <c r="F237" s="192"/>
      <c r="G237" s="192"/>
      <c r="H237" s="192"/>
      <c r="I237" s="192"/>
      <c r="J237" s="192"/>
      <c r="K237" s="220"/>
      <c r="L237" s="220"/>
      <c r="M237" s="220"/>
      <c r="N237" s="220"/>
      <c r="O237" s="220"/>
      <c r="P237" s="220"/>
      <c r="Q237" s="220"/>
      <c r="R237" s="220"/>
      <c r="S237" s="220"/>
      <c r="T237" s="220"/>
      <c r="U237" s="220"/>
      <c r="V237" s="220"/>
      <c r="W237" s="220"/>
      <c r="X237" s="220"/>
      <c r="Y237" s="220"/>
      <c r="Z237" s="220"/>
      <c r="AA237" s="220"/>
      <c r="AB237" s="220"/>
      <c r="AC237" s="220"/>
      <c r="AD237" s="220"/>
      <c r="AE237" s="222"/>
      <c r="AF237" s="222"/>
      <c r="AG237" s="222"/>
    </row>
    <row r="238" spans="1:33">
      <c r="A238" s="190" t="s">
        <v>736</v>
      </c>
      <c r="B238" s="191" t="s">
        <v>721</v>
      </c>
      <c r="C238" s="190">
        <v>0</v>
      </c>
      <c r="D238" s="190">
        <v>0</v>
      </c>
      <c r="E238" s="200">
        <v>0</v>
      </c>
      <c r="F238" s="193"/>
      <c r="G238" s="220"/>
      <c r="H238" s="220"/>
      <c r="I238" s="220"/>
      <c r="J238" s="220"/>
      <c r="K238" s="220"/>
      <c r="L238" s="220"/>
      <c r="M238" s="220"/>
      <c r="N238" s="220"/>
      <c r="O238" s="220"/>
      <c r="P238" s="220"/>
      <c r="Q238" s="220"/>
      <c r="R238" s="220"/>
      <c r="S238" s="220"/>
      <c r="T238" s="220"/>
      <c r="U238" s="220"/>
      <c r="V238" s="220"/>
      <c r="W238" s="220"/>
      <c r="X238" s="220"/>
      <c r="Y238" s="220"/>
      <c r="Z238" s="220"/>
      <c r="AA238" s="220"/>
      <c r="AB238" s="220"/>
      <c r="AC238" s="220"/>
      <c r="AD238" s="220"/>
      <c r="AE238" s="222"/>
      <c r="AF238" s="222"/>
      <c r="AG238" s="222"/>
    </row>
    <row r="239" spans="1:33">
      <c r="A239" s="190" t="s">
        <v>736</v>
      </c>
      <c r="B239" s="191" t="s">
        <v>722</v>
      </c>
      <c r="C239" s="190">
        <v>0</v>
      </c>
      <c r="D239" s="190">
        <v>0</v>
      </c>
      <c r="E239" s="200">
        <v>0</v>
      </c>
      <c r="F239" s="221"/>
      <c r="G239" s="193"/>
      <c r="H239" s="220"/>
      <c r="I239" s="220"/>
      <c r="J239" s="220"/>
      <c r="K239" s="220"/>
      <c r="L239" s="220"/>
      <c r="M239" s="220"/>
      <c r="N239" s="220"/>
      <c r="O239" s="220"/>
      <c r="P239" s="220"/>
      <c r="Q239" s="220"/>
      <c r="R239" s="220"/>
      <c r="S239" s="220"/>
      <c r="T239" s="220"/>
      <c r="U239" s="220"/>
      <c r="V239" s="220"/>
      <c r="W239" s="220"/>
      <c r="X239" s="220"/>
      <c r="Y239" s="220"/>
      <c r="Z239" s="220"/>
      <c r="AA239" s="220"/>
      <c r="AB239" s="220"/>
      <c r="AC239" s="220"/>
      <c r="AD239" s="220"/>
      <c r="AE239" s="222"/>
      <c r="AF239" s="222"/>
      <c r="AG239" s="222"/>
    </row>
    <row r="240" spans="1:33">
      <c r="A240" s="190" t="s">
        <v>736</v>
      </c>
      <c r="B240" s="191" t="s">
        <v>723</v>
      </c>
      <c r="C240" s="190">
        <v>0</v>
      </c>
      <c r="D240" s="190">
        <v>0</v>
      </c>
      <c r="E240" s="200">
        <v>0</v>
      </c>
      <c r="F240" s="221"/>
      <c r="G240" s="221"/>
      <c r="H240" s="193"/>
      <c r="I240" s="220"/>
      <c r="J240" s="220"/>
      <c r="K240" s="220"/>
      <c r="L240" s="220"/>
      <c r="M240" s="220"/>
      <c r="N240" s="220"/>
      <c r="O240" s="220"/>
      <c r="P240" s="220"/>
      <c r="Q240" s="220"/>
      <c r="R240" s="220"/>
      <c r="S240" s="220"/>
      <c r="T240" s="220"/>
      <c r="U240" s="220"/>
      <c r="V240" s="220"/>
      <c r="W240" s="220"/>
      <c r="X240" s="220"/>
      <c r="Y240" s="220"/>
      <c r="Z240" s="220"/>
      <c r="AA240" s="220"/>
      <c r="AB240" s="220"/>
      <c r="AC240" s="220"/>
      <c r="AD240" s="220"/>
      <c r="AE240" s="222"/>
      <c r="AF240" s="222"/>
      <c r="AG240" s="222"/>
    </row>
    <row r="241" spans="1:33">
      <c r="A241" s="190" t="s">
        <v>736</v>
      </c>
      <c r="B241" s="191" t="s">
        <v>724</v>
      </c>
      <c r="C241" s="190">
        <v>0</v>
      </c>
      <c r="D241" s="190">
        <v>0</v>
      </c>
      <c r="E241" s="200">
        <v>0</v>
      </c>
      <c r="F241" s="221"/>
      <c r="G241" s="221"/>
      <c r="H241" s="221"/>
      <c r="I241" s="193"/>
      <c r="J241" s="220"/>
      <c r="K241" s="220"/>
      <c r="L241" s="220"/>
      <c r="M241" s="220"/>
      <c r="N241" s="220"/>
      <c r="O241" s="220"/>
      <c r="P241" s="220"/>
      <c r="Q241" s="220"/>
      <c r="R241" s="220"/>
      <c r="S241" s="220"/>
      <c r="T241" s="220"/>
      <c r="U241" s="220"/>
      <c r="V241" s="220"/>
      <c r="W241" s="220"/>
      <c r="X241" s="220"/>
      <c r="Y241" s="220"/>
      <c r="Z241" s="220"/>
      <c r="AA241" s="220"/>
      <c r="AB241" s="220"/>
      <c r="AC241" s="220"/>
      <c r="AD241" s="220"/>
      <c r="AE241" s="222"/>
      <c r="AF241" s="222"/>
      <c r="AG241" s="222"/>
    </row>
    <row r="242" spans="1:33">
      <c r="A242" s="190" t="s">
        <v>736</v>
      </c>
      <c r="B242" s="191" t="s">
        <v>725</v>
      </c>
      <c r="C242" s="190">
        <v>0</v>
      </c>
      <c r="D242" s="190">
        <v>0</v>
      </c>
      <c r="E242" s="200">
        <v>0</v>
      </c>
      <c r="F242" s="221"/>
      <c r="G242" s="221"/>
      <c r="H242" s="221"/>
      <c r="I242" s="221"/>
      <c r="J242" s="193"/>
      <c r="K242" s="220"/>
      <c r="L242" s="220"/>
      <c r="M242" s="220"/>
      <c r="N242" s="220"/>
      <c r="O242" s="220"/>
      <c r="P242" s="220"/>
      <c r="Q242" s="220"/>
      <c r="R242" s="220"/>
      <c r="S242" s="220"/>
      <c r="T242" s="220"/>
      <c r="U242" s="220"/>
      <c r="V242" s="220"/>
      <c r="W242" s="220"/>
      <c r="X242" s="220"/>
      <c r="Y242" s="220"/>
      <c r="Z242" s="220"/>
      <c r="AA242" s="220"/>
      <c r="AB242" s="220"/>
      <c r="AC242" s="220"/>
      <c r="AD242" s="220"/>
      <c r="AE242" s="222"/>
      <c r="AF242" s="222"/>
      <c r="AG242" s="222"/>
    </row>
    <row r="243" spans="1:33">
      <c r="A243" s="190" t="s">
        <v>736</v>
      </c>
      <c r="B243" s="191" t="s">
        <v>726</v>
      </c>
      <c r="C243" s="190">
        <v>0</v>
      </c>
      <c r="D243" s="190">
        <v>0</v>
      </c>
      <c r="E243" s="200">
        <v>0</v>
      </c>
      <c r="F243" s="221"/>
      <c r="G243" s="221"/>
      <c r="H243" s="221"/>
      <c r="I243" s="221"/>
      <c r="J243" s="221"/>
      <c r="K243" s="193"/>
      <c r="L243" s="220"/>
      <c r="M243" s="220"/>
      <c r="N243" s="220"/>
      <c r="O243" s="220"/>
      <c r="P243" s="220"/>
      <c r="Q243" s="220"/>
      <c r="R243" s="220"/>
      <c r="S243" s="220"/>
      <c r="T243" s="220"/>
      <c r="U243" s="220"/>
      <c r="V243" s="220"/>
      <c r="W243" s="220"/>
      <c r="X243" s="220"/>
      <c r="Y243" s="220"/>
      <c r="Z243" s="220"/>
      <c r="AA243" s="220"/>
      <c r="AB243" s="220"/>
      <c r="AC243" s="220"/>
      <c r="AD243" s="220"/>
      <c r="AE243" s="222"/>
      <c r="AF243" s="222"/>
      <c r="AG243" s="222"/>
    </row>
    <row r="244" spans="1:33">
      <c r="A244" s="190" t="s">
        <v>736</v>
      </c>
      <c r="B244" s="191" t="s">
        <v>727</v>
      </c>
      <c r="C244" s="190">
        <v>0</v>
      </c>
      <c r="D244" s="190">
        <v>0</v>
      </c>
      <c r="E244" s="200">
        <v>0</v>
      </c>
      <c r="F244" s="221"/>
      <c r="G244" s="221"/>
      <c r="H244" s="221"/>
      <c r="I244" s="221"/>
      <c r="J244" s="221"/>
      <c r="K244" s="221"/>
      <c r="L244" s="193"/>
      <c r="M244" s="220"/>
      <c r="N244" s="220"/>
      <c r="O244" s="220"/>
      <c r="P244" s="220"/>
      <c r="Q244" s="220"/>
      <c r="R244" s="220"/>
      <c r="S244" s="220"/>
      <c r="T244" s="220"/>
      <c r="U244" s="220"/>
      <c r="V244" s="220"/>
      <c r="W244" s="220"/>
      <c r="X244" s="220"/>
      <c r="Y244" s="220"/>
      <c r="Z244" s="220"/>
      <c r="AA244" s="220"/>
      <c r="AB244" s="220"/>
      <c r="AC244" s="220"/>
      <c r="AD244" s="220"/>
      <c r="AE244" s="222"/>
      <c r="AF244" s="222"/>
      <c r="AG244" s="222"/>
    </row>
    <row r="245" spans="1:33">
      <c r="A245" s="190" t="s">
        <v>736</v>
      </c>
      <c r="B245" s="191" t="s">
        <v>728</v>
      </c>
      <c r="C245" s="190">
        <v>0</v>
      </c>
      <c r="D245" s="190">
        <v>0</v>
      </c>
      <c r="E245" s="200">
        <v>0</v>
      </c>
      <c r="F245" s="221"/>
      <c r="G245" s="221"/>
      <c r="H245" s="221"/>
      <c r="I245" s="221"/>
      <c r="J245" s="221"/>
      <c r="K245" s="221"/>
      <c r="L245" s="221"/>
      <c r="M245" s="193"/>
      <c r="N245" s="220"/>
      <c r="O245" s="220"/>
      <c r="P245" s="220"/>
      <c r="Q245" s="220"/>
      <c r="R245" s="220"/>
      <c r="S245" s="220"/>
      <c r="T245" s="220"/>
      <c r="U245" s="220"/>
      <c r="V245" s="220"/>
      <c r="W245" s="220"/>
      <c r="X245" s="220"/>
      <c r="Y245" s="220"/>
      <c r="Z245" s="220"/>
      <c r="AA245" s="220"/>
      <c r="AB245" s="220"/>
      <c r="AC245" s="220"/>
      <c r="AD245" s="220"/>
      <c r="AE245" s="222"/>
      <c r="AF245" s="222"/>
      <c r="AG245" s="222"/>
    </row>
    <row r="246" spans="1:33">
      <c r="A246" s="190" t="s">
        <v>736</v>
      </c>
      <c r="B246" s="191" t="s">
        <v>729</v>
      </c>
      <c r="C246" s="190">
        <v>0</v>
      </c>
      <c r="D246" s="190">
        <v>0</v>
      </c>
      <c r="E246" s="200">
        <v>0</v>
      </c>
      <c r="F246" s="221"/>
      <c r="G246" s="221"/>
      <c r="H246" s="221"/>
      <c r="I246" s="221"/>
      <c r="J246" s="221"/>
      <c r="K246" s="221"/>
      <c r="L246" s="221"/>
      <c r="M246" s="221"/>
      <c r="N246" s="193"/>
      <c r="O246" s="220"/>
      <c r="P246" s="220"/>
      <c r="Q246" s="220"/>
      <c r="R246" s="220"/>
      <c r="S246" s="220"/>
      <c r="T246" s="220"/>
      <c r="U246" s="220"/>
      <c r="V246" s="220"/>
      <c r="W246" s="220"/>
      <c r="X246" s="220"/>
      <c r="Y246" s="220"/>
      <c r="Z246" s="220"/>
      <c r="AA246" s="220"/>
      <c r="AB246" s="220"/>
      <c r="AC246" s="220"/>
      <c r="AD246" s="220"/>
      <c r="AE246" s="222"/>
      <c r="AF246" s="222"/>
      <c r="AG246" s="222"/>
    </row>
    <row r="247" spans="1:33">
      <c r="A247" s="190" t="s">
        <v>736</v>
      </c>
      <c r="B247" s="191" t="s">
        <v>730</v>
      </c>
      <c r="C247" s="190">
        <v>0</v>
      </c>
      <c r="D247" s="190">
        <v>0</v>
      </c>
      <c r="E247" s="200">
        <v>0</v>
      </c>
      <c r="F247" s="221"/>
      <c r="G247" s="221"/>
      <c r="H247" s="221"/>
      <c r="I247" s="221"/>
      <c r="J247" s="221"/>
      <c r="K247" s="221"/>
      <c r="L247" s="221"/>
      <c r="M247" s="221"/>
      <c r="N247" s="221"/>
      <c r="O247" s="193"/>
      <c r="P247" s="220"/>
      <c r="Q247" s="220"/>
      <c r="R247" s="220"/>
      <c r="S247" s="220"/>
      <c r="T247" s="220"/>
      <c r="U247" s="220"/>
      <c r="V247" s="220"/>
      <c r="W247" s="220"/>
      <c r="X247" s="220"/>
      <c r="Y247" s="220"/>
      <c r="Z247" s="220"/>
      <c r="AA247" s="220"/>
      <c r="AB247" s="220"/>
      <c r="AC247" s="220"/>
      <c r="AD247" s="220"/>
      <c r="AE247" s="222"/>
      <c r="AF247" s="222"/>
      <c r="AG247" s="222"/>
    </row>
    <row r="248" spans="1:33">
      <c r="A248" s="190" t="s">
        <v>736</v>
      </c>
      <c r="B248" s="191" t="s">
        <v>731</v>
      </c>
      <c r="C248" s="190">
        <v>0</v>
      </c>
      <c r="D248" s="190">
        <v>0</v>
      </c>
      <c r="E248" s="200">
        <v>0</v>
      </c>
      <c r="F248" s="221"/>
      <c r="G248" s="221"/>
      <c r="H248" s="221"/>
      <c r="I248" s="221"/>
      <c r="J248" s="221"/>
      <c r="K248" s="221"/>
      <c r="L248" s="221"/>
      <c r="M248" s="221"/>
      <c r="N248" s="221"/>
      <c r="O248" s="221"/>
      <c r="P248" s="193"/>
      <c r="Q248" s="220"/>
      <c r="R248" s="220"/>
      <c r="S248" s="220"/>
      <c r="T248" s="220"/>
      <c r="U248" s="220"/>
      <c r="V248" s="220"/>
      <c r="W248" s="220"/>
      <c r="X248" s="220"/>
      <c r="Y248" s="220"/>
      <c r="Z248" s="220"/>
      <c r="AA248" s="220"/>
      <c r="AB248" s="220"/>
      <c r="AC248" s="220"/>
      <c r="AD248" s="220"/>
      <c r="AE248" s="222"/>
      <c r="AF248" s="222"/>
      <c r="AG248" s="222"/>
    </row>
    <row r="249" spans="1:33">
      <c r="A249" s="190" t="s">
        <v>736</v>
      </c>
      <c r="B249" s="191" t="s">
        <v>732</v>
      </c>
      <c r="C249" s="190">
        <v>0</v>
      </c>
      <c r="D249" s="190">
        <v>0</v>
      </c>
      <c r="E249" s="200">
        <v>0</v>
      </c>
      <c r="F249" s="221"/>
      <c r="G249" s="221"/>
      <c r="H249" s="221"/>
      <c r="I249" s="221"/>
      <c r="J249" s="221"/>
      <c r="K249" s="221"/>
      <c r="L249" s="221"/>
      <c r="M249" s="221"/>
      <c r="N249" s="221"/>
      <c r="O249" s="221"/>
      <c r="P249" s="221"/>
      <c r="Q249" s="193"/>
      <c r="R249" s="220"/>
      <c r="S249" s="220"/>
      <c r="T249" s="220"/>
      <c r="U249" s="220"/>
      <c r="V249" s="220"/>
      <c r="W249" s="220"/>
      <c r="X249" s="220"/>
      <c r="Y249" s="220"/>
      <c r="Z249" s="220"/>
      <c r="AA249" s="220"/>
      <c r="AB249" s="220"/>
      <c r="AC249" s="220"/>
      <c r="AD249" s="220"/>
      <c r="AE249" s="222"/>
      <c r="AF249" s="222"/>
      <c r="AG249" s="222"/>
    </row>
    <row r="250" spans="1:33">
      <c r="A250" s="190" t="s">
        <v>736</v>
      </c>
      <c r="B250" s="191" t="s">
        <v>733</v>
      </c>
      <c r="C250" s="190">
        <v>0</v>
      </c>
      <c r="D250" s="190">
        <v>0</v>
      </c>
      <c r="E250" s="200">
        <v>0</v>
      </c>
      <c r="F250" s="221"/>
      <c r="G250" s="221"/>
      <c r="H250" s="221"/>
      <c r="I250" s="221"/>
      <c r="J250" s="221"/>
      <c r="K250" s="221"/>
      <c r="L250" s="221"/>
      <c r="M250" s="221"/>
      <c r="N250" s="221"/>
      <c r="O250" s="221"/>
      <c r="P250" s="221"/>
      <c r="Q250" s="221"/>
      <c r="R250" s="193"/>
      <c r="S250" s="220"/>
      <c r="T250" s="220"/>
      <c r="U250" s="220"/>
      <c r="V250" s="220"/>
      <c r="W250" s="220"/>
      <c r="X250" s="220"/>
      <c r="Y250" s="220"/>
      <c r="Z250" s="220"/>
      <c r="AA250" s="220"/>
      <c r="AB250" s="220"/>
      <c r="AC250" s="220"/>
      <c r="AD250" s="220"/>
      <c r="AE250" s="222"/>
      <c r="AF250" s="222"/>
      <c r="AG250" s="222"/>
    </row>
    <row r="251" spans="1:33">
      <c r="A251" s="190" t="s">
        <v>736</v>
      </c>
      <c r="B251" s="191" t="s">
        <v>734</v>
      </c>
      <c r="C251" s="190">
        <v>0</v>
      </c>
      <c r="D251" s="190">
        <v>0</v>
      </c>
      <c r="E251" s="200">
        <v>0</v>
      </c>
      <c r="F251" s="221"/>
      <c r="G251" s="221"/>
      <c r="H251" s="221"/>
      <c r="I251" s="221"/>
      <c r="J251" s="221"/>
      <c r="K251" s="221"/>
      <c r="L251" s="221"/>
      <c r="M251" s="221"/>
      <c r="N251" s="221"/>
      <c r="O251" s="221"/>
      <c r="P251" s="221"/>
      <c r="Q251" s="221"/>
      <c r="R251" s="221"/>
      <c r="S251" s="193"/>
      <c r="T251" s="220"/>
      <c r="U251" s="220"/>
      <c r="V251" s="220"/>
      <c r="W251" s="220"/>
      <c r="X251" s="220"/>
      <c r="Y251" s="220"/>
      <c r="Z251" s="220"/>
      <c r="AA251" s="220"/>
      <c r="AB251" s="220"/>
      <c r="AC251" s="220"/>
      <c r="AD251" s="220"/>
      <c r="AE251" s="222"/>
      <c r="AF251" s="222"/>
      <c r="AG251" s="222"/>
    </row>
    <row r="252" spans="1:33">
      <c r="A252" s="190" t="s">
        <v>736</v>
      </c>
      <c r="B252" s="191" t="s">
        <v>548</v>
      </c>
      <c r="C252" s="190">
        <v>0</v>
      </c>
      <c r="D252" s="190">
        <v>0</v>
      </c>
      <c r="E252" s="200">
        <v>0</v>
      </c>
      <c r="F252" s="221"/>
      <c r="G252" s="221"/>
      <c r="H252" s="221"/>
      <c r="I252" s="221"/>
      <c r="J252" s="221"/>
      <c r="K252" s="221"/>
      <c r="L252" s="221"/>
      <c r="M252" s="221"/>
      <c r="N252" s="221"/>
      <c r="O252" s="221"/>
      <c r="P252" s="221"/>
      <c r="Q252" s="221"/>
      <c r="R252" s="221"/>
      <c r="S252" s="221"/>
      <c r="T252" s="193"/>
      <c r="U252" s="220"/>
      <c r="V252" s="220"/>
      <c r="W252" s="220"/>
      <c r="X252" s="220"/>
      <c r="Y252" s="220"/>
      <c r="Z252" s="220"/>
      <c r="AA252" s="220"/>
      <c r="AB252" s="220"/>
      <c r="AC252" s="220"/>
      <c r="AD252" s="220"/>
      <c r="AE252" s="222"/>
      <c r="AF252" s="222"/>
      <c r="AG252" s="222"/>
    </row>
    <row r="253" spans="1:33">
      <c r="A253" s="190" t="s">
        <v>736</v>
      </c>
      <c r="B253" s="191" t="s">
        <v>549</v>
      </c>
      <c r="C253" s="190">
        <v>0</v>
      </c>
      <c r="D253" s="190">
        <v>0</v>
      </c>
      <c r="E253" s="200">
        <v>0</v>
      </c>
      <c r="F253" s="221"/>
      <c r="G253" s="221"/>
      <c r="H253" s="221"/>
      <c r="I253" s="221"/>
      <c r="J253" s="221"/>
      <c r="K253" s="221"/>
      <c r="L253" s="221"/>
      <c r="M253" s="221"/>
      <c r="N253" s="221"/>
      <c r="O253" s="221"/>
      <c r="P253" s="221"/>
      <c r="Q253" s="221"/>
      <c r="R253" s="221"/>
      <c r="S253" s="221"/>
      <c r="T253" s="221"/>
      <c r="U253" s="193"/>
      <c r="V253" s="220"/>
      <c r="W253" s="220"/>
      <c r="X253" s="220"/>
      <c r="Y253" s="220"/>
      <c r="Z253" s="220"/>
      <c r="AA253" s="220"/>
      <c r="AB253" s="220"/>
      <c r="AC253" s="220"/>
      <c r="AD253" s="220"/>
      <c r="AE253" s="222"/>
      <c r="AF253" s="222"/>
      <c r="AG253" s="222"/>
    </row>
    <row r="254" spans="1:33">
      <c r="A254" s="190" t="s">
        <v>736</v>
      </c>
      <c r="B254" s="191" t="s">
        <v>550</v>
      </c>
      <c r="C254" s="190">
        <v>0</v>
      </c>
      <c r="D254" s="190">
        <v>0</v>
      </c>
      <c r="E254" s="200">
        <v>0</v>
      </c>
      <c r="F254" s="221"/>
      <c r="G254" s="221"/>
      <c r="H254" s="221"/>
      <c r="I254" s="221"/>
      <c r="J254" s="221"/>
      <c r="K254" s="221"/>
      <c r="L254" s="221"/>
      <c r="M254" s="221"/>
      <c r="N254" s="221"/>
      <c r="O254" s="221"/>
      <c r="P254" s="221"/>
      <c r="Q254" s="221"/>
      <c r="R254" s="221"/>
      <c r="S254" s="221"/>
      <c r="T254" s="221"/>
      <c r="U254" s="221"/>
      <c r="V254" s="193"/>
      <c r="W254" s="220"/>
      <c r="X254" s="220"/>
      <c r="Y254" s="220"/>
      <c r="Z254" s="220"/>
      <c r="AA254" s="220"/>
      <c r="AB254" s="220"/>
      <c r="AC254" s="220"/>
      <c r="AD254" s="220"/>
      <c r="AE254" s="222"/>
      <c r="AF254" s="222"/>
      <c r="AG254" s="222"/>
    </row>
    <row r="255" spans="1:33">
      <c r="A255" s="190" t="s">
        <v>736</v>
      </c>
      <c r="B255" s="191" t="s">
        <v>551</v>
      </c>
      <c r="C255" s="190">
        <v>0</v>
      </c>
      <c r="D255" s="190">
        <v>0</v>
      </c>
      <c r="E255" s="200">
        <v>0</v>
      </c>
      <c r="F255" s="221"/>
      <c r="G255" s="221"/>
      <c r="H255" s="221"/>
      <c r="I255" s="221"/>
      <c r="J255" s="221"/>
      <c r="K255" s="221"/>
      <c r="L255" s="221"/>
      <c r="M255" s="221"/>
      <c r="N255" s="221"/>
      <c r="O255" s="221"/>
      <c r="P255" s="221"/>
      <c r="Q255" s="221"/>
      <c r="R255" s="221"/>
      <c r="S255" s="221"/>
      <c r="T255" s="221"/>
      <c r="U255" s="221"/>
      <c r="V255" s="221"/>
      <c r="W255" s="193"/>
      <c r="X255" s="220"/>
      <c r="Y255" s="220"/>
      <c r="Z255" s="220"/>
      <c r="AA255" s="220"/>
      <c r="AB255" s="220"/>
      <c r="AC255" s="220"/>
      <c r="AD255" s="220"/>
      <c r="AE255" s="222"/>
      <c r="AF255" s="222"/>
      <c r="AG255" s="222"/>
    </row>
    <row r="256" spans="1:33">
      <c r="A256" s="190" t="s">
        <v>736</v>
      </c>
      <c r="B256" s="191" t="s">
        <v>552</v>
      </c>
      <c r="C256" s="190">
        <v>0</v>
      </c>
      <c r="D256" s="190">
        <v>0</v>
      </c>
      <c r="E256" s="200">
        <v>0</v>
      </c>
      <c r="F256" s="221"/>
      <c r="G256" s="221"/>
      <c r="H256" s="221"/>
      <c r="I256" s="221"/>
      <c r="J256" s="221"/>
      <c r="K256" s="221"/>
      <c r="L256" s="221"/>
      <c r="M256" s="221"/>
      <c r="N256" s="221"/>
      <c r="O256" s="221"/>
      <c r="P256" s="221"/>
      <c r="Q256" s="221"/>
      <c r="R256" s="221"/>
      <c r="S256" s="221"/>
      <c r="T256" s="221"/>
      <c r="U256" s="221"/>
      <c r="V256" s="221"/>
      <c r="W256" s="221"/>
      <c r="X256" s="193"/>
      <c r="Y256" s="220"/>
      <c r="Z256" s="220"/>
      <c r="AA256" s="220"/>
      <c r="AB256" s="220"/>
      <c r="AC256" s="220"/>
      <c r="AD256" s="220"/>
      <c r="AE256" s="222"/>
      <c r="AF256" s="222"/>
      <c r="AG256" s="222"/>
    </row>
    <row r="257" spans="1:33">
      <c r="A257" s="190" t="s">
        <v>736</v>
      </c>
      <c r="B257" s="191" t="s">
        <v>553</v>
      </c>
      <c r="C257" s="190">
        <v>0</v>
      </c>
      <c r="D257" s="190">
        <v>0</v>
      </c>
      <c r="E257" s="200">
        <v>0</v>
      </c>
      <c r="F257" s="221"/>
      <c r="G257" s="221"/>
      <c r="H257" s="221"/>
      <c r="I257" s="221"/>
      <c r="J257" s="221"/>
      <c r="K257" s="221"/>
      <c r="L257" s="221"/>
      <c r="M257" s="221"/>
      <c r="N257" s="221"/>
      <c r="O257" s="221"/>
      <c r="P257" s="221"/>
      <c r="Q257" s="221"/>
      <c r="R257" s="221"/>
      <c r="S257" s="221"/>
      <c r="T257" s="221"/>
      <c r="U257" s="221"/>
      <c r="V257" s="221"/>
      <c r="W257" s="221"/>
      <c r="X257" s="221"/>
      <c r="Y257" s="193"/>
      <c r="Z257" s="220"/>
      <c r="AA257" s="220"/>
      <c r="AB257" s="220"/>
      <c r="AC257" s="220"/>
      <c r="AD257" s="220"/>
      <c r="AE257" s="222"/>
      <c r="AF257" s="222"/>
      <c r="AG257" s="222"/>
    </row>
    <row r="258" spans="1:33">
      <c r="A258" s="190" t="s">
        <v>736</v>
      </c>
      <c r="B258" t="s">
        <v>634</v>
      </c>
      <c r="C258" s="190">
        <v>0</v>
      </c>
      <c r="D258" s="190">
        <v>0</v>
      </c>
      <c r="E258" s="200">
        <v>0</v>
      </c>
      <c r="F258" s="221"/>
      <c r="G258" s="221"/>
      <c r="H258" s="221"/>
      <c r="I258" s="221"/>
      <c r="J258" s="221"/>
      <c r="K258" s="221"/>
      <c r="L258" s="221"/>
      <c r="M258" s="221"/>
      <c r="N258" s="221"/>
      <c r="O258" s="221"/>
      <c r="P258" s="221"/>
      <c r="Q258" s="221"/>
      <c r="R258" s="221"/>
      <c r="S258" s="221"/>
      <c r="T258" s="221"/>
      <c r="U258" s="221"/>
      <c r="V258" s="221"/>
      <c r="W258" s="221"/>
      <c r="X258" s="221"/>
      <c r="Y258" s="221"/>
      <c r="Z258" s="193"/>
      <c r="AA258" s="220"/>
      <c r="AB258" s="220"/>
      <c r="AC258" s="220"/>
      <c r="AD258" s="220"/>
      <c r="AE258" s="222"/>
      <c r="AF258" s="222"/>
      <c r="AG258" s="222"/>
    </row>
    <row r="259" spans="1:33">
      <c r="A259" s="190" t="s">
        <v>736</v>
      </c>
      <c r="B259" t="s">
        <v>635</v>
      </c>
      <c r="C259" s="190">
        <v>0</v>
      </c>
      <c r="D259" s="190">
        <v>0</v>
      </c>
      <c r="E259" s="200">
        <v>0</v>
      </c>
      <c r="F259" s="221"/>
      <c r="G259" s="221"/>
      <c r="H259" s="221"/>
      <c r="I259" s="221"/>
      <c r="J259" s="221"/>
      <c r="K259" s="221"/>
      <c r="L259" s="221"/>
      <c r="M259" s="221"/>
      <c r="N259" s="221"/>
      <c r="O259" s="221"/>
      <c r="P259" s="221"/>
      <c r="Q259" s="221"/>
      <c r="R259" s="221"/>
      <c r="S259" s="221"/>
      <c r="T259" s="221"/>
      <c r="U259" s="221"/>
      <c r="V259" s="221"/>
      <c r="W259" s="221"/>
      <c r="X259" s="221"/>
      <c r="Y259" s="221"/>
      <c r="Z259" s="221"/>
      <c r="AA259" s="193"/>
      <c r="AB259" s="220"/>
      <c r="AC259" s="220"/>
      <c r="AD259" s="220"/>
      <c r="AE259" s="222"/>
      <c r="AF259" s="222"/>
      <c r="AG259" s="222"/>
    </row>
    <row r="260" spans="1:33">
      <c r="A260" s="190" t="s">
        <v>736</v>
      </c>
      <c r="B260" t="s">
        <v>636</v>
      </c>
      <c r="C260" s="190">
        <v>0</v>
      </c>
      <c r="D260" s="190">
        <v>0</v>
      </c>
      <c r="E260" s="200">
        <v>0</v>
      </c>
      <c r="F260" s="221"/>
      <c r="G260" s="221"/>
      <c r="H260" s="221"/>
      <c r="I260" s="221"/>
      <c r="J260" s="221"/>
      <c r="K260" s="221"/>
      <c r="L260" s="221"/>
      <c r="M260" s="221"/>
      <c r="N260" s="221"/>
      <c r="O260" s="221"/>
      <c r="P260" s="221"/>
      <c r="Q260" s="221"/>
      <c r="R260" s="221"/>
      <c r="S260" s="221"/>
      <c r="T260" s="221"/>
      <c r="U260" s="221"/>
      <c r="V260" s="221"/>
      <c r="W260" s="221"/>
      <c r="X260" s="221"/>
      <c r="Y260" s="221"/>
      <c r="Z260" s="221"/>
      <c r="AA260" s="221"/>
      <c r="AB260" s="193"/>
      <c r="AC260" s="220"/>
      <c r="AD260" s="220"/>
      <c r="AE260" s="222"/>
      <c r="AF260" s="222"/>
      <c r="AG260" s="222"/>
    </row>
    <row r="261" spans="1:33">
      <c r="A261" s="190" t="s">
        <v>736</v>
      </c>
      <c r="B261" t="s">
        <v>637</v>
      </c>
      <c r="C261" s="190">
        <v>0</v>
      </c>
      <c r="D261" s="190">
        <v>0</v>
      </c>
      <c r="E261" s="200">
        <v>0</v>
      </c>
      <c r="F261" s="221"/>
      <c r="G261" s="221"/>
      <c r="H261" s="221"/>
      <c r="I261" s="221"/>
      <c r="J261" s="221"/>
      <c r="K261" s="221"/>
      <c r="L261" s="221"/>
      <c r="M261" s="221"/>
      <c r="N261" s="221"/>
      <c r="O261" s="221"/>
      <c r="P261" s="221"/>
      <c r="Q261" s="221"/>
      <c r="R261" s="221"/>
      <c r="S261" s="221"/>
      <c r="T261" s="221"/>
      <c r="U261" s="221"/>
      <c r="V261" s="221"/>
      <c r="W261" s="221"/>
      <c r="X261" s="221"/>
      <c r="Y261" s="221"/>
      <c r="Z261" s="221"/>
      <c r="AA261" s="221"/>
      <c r="AB261" s="221"/>
      <c r="AC261" s="193"/>
      <c r="AD261" s="220"/>
      <c r="AE261" s="222"/>
      <c r="AF261" s="222"/>
      <c r="AG261" s="222"/>
    </row>
    <row r="262" spans="1:33">
      <c r="A262" s="190" t="s">
        <v>736</v>
      </c>
      <c r="B262" t="s">
        <v>638</v>
      </c>
      <c r="C262" s="190">
        <v>0</v>
      </c>
      <c r="D262" s="190">
        <v>0</v>
      </c>
      <c r="E262" s="200">
        <v>0</v>
      </c>
      <c r="F262" s="221"/>
      <c r="G262" s="221"/>
      <c r="H262" s="221"/>
      <c r="I262" s="221"/>
      <c r="J262" s="221"/>
      <c r="K262" s="221"/>
      <c r="L262" s="221"/>
      <c r="M262" s="221"/>
      <c r="N262" s="221"/>
      <c r="O262" s="221"/>
      <c r="P262" s="221"/>
      <c r="Q262" s="221"/>
      <c r="R262" s="221"/>
      <c r="S262" s="221"/>
      <c r="T262" s="221"/>
      <c r="U262" s="221"/>
      <c r="V262" s="221"/>
      <c r="W262" s="221"/>
      <c r="X262" s="221"/>
      <c r="Y262" s="221"/>
      <c r="Z262" s="221"/>
      <c r="AA262" s="221"/>
      <c r="AB262" s="221"/>
      <c r="AC262" s="221"/>
      <c r="AD262" s="193"/>
      <c r="AE262" s="222"/>
      <c r="AF262" s="222"/>
      <c r="AG262" s="222"/>
    </row>
    <row r="263" spans="1:33">
      <c r="A263" s="194"/>
      <c r="B263" s="195" t="s">
        <v>219</v>
      </c>
      <c r="C263" s="196"/>
      <c r="D263" s="196"/>
      <c r="E263" s="196"/>
      <c r="F263" s="196"/>
      <c r="G263" s="196"/>
      <c r="H263" s="196"/>
      <c r="I263" s="196"/>
      <c r="J263" s="196"/>
      <c r="K263" s="196"/>
      <c r="L263" s="196"/>
      <c r="M263" s="196"/>
      <c r="N263" s="196"/>
      <c r="O263" s="196"/>
      <c r="P263" s="196"/>
      <c r="Q263" s="196"/>
      <c r="R263" s="196"/>
      <c r="S263" s="196"/>
      <c r="T263" s="196"/>
      <c r="U263" s="196"/>
      <c r="V263" s="196"/>
      <c r="W263" s="196"/>
      <c r="X263" s="196"/>
      <c r="Y263" s="196"/>
      <c r="Z263" s="196"/>
      <c r="AA263" s="196"/>
      <c r="AB263" s="196"/>
      <c r="AC263" s="196"/>
      <c r="AD263" s="196"/>
      <c r="AE263" s="196"/>
      <c r="AF263" s="196"/>
      <c r="AG263" s="196"/>
    </row>
    <row r="264" spans="1:33">
      <c r="C264" s="203"/>
    </row>
    <row r="267" spans="1:33">
      <c r="B267" s="185" t="s">
        <v>315</v>
      </c>
      <c r="K267" s="218" t="s">
        <v>52</v>
      </c>
    </row>
    <row r="268" spans="1:33" ht="26.45">
      <c r="A268" s="186"/>
      <c r="B268" s="187" t="s">
        <v>713</v>
      </c>
      <c r="C268" s="865" t="s">
        <v>738</v>
      </c>
      <c r="D268" s="865" t="s">
        <v>715</v>
      </c>
      <c r="E268" s="865" t="s">
        <v>716</v>
      </c>
      <c r="F268" s="867" t="s">
        <v>717</v>
      </c>
      <c r="G268" s="868"/>
      <c r="H268" s="868"/>
      <c r="I268" s="868"/>
      <c r="J268" s="868"/>
      <c r="K268" s="868"/>
      <c r="L268" s="868"/>
      <c r="M268" s="868"/>
      <c r="N268" s="868"/>
      <c r="O268" s="868"/>
      <c r="P268" s="868"/>
      <c r="Q268" s="868"/>
      <c r="R268" s="868"/>
      <c r="S268" s="868"/>
      <c r="T268" s="868"/>
      <c r="U268" s="868"/>
      <c r="V268" s="868"/>
      <c r="W268" s="868"/>
      <c r="X268" s="868"/>
      <c r="Y268" s="868"/>
      <c r="Z268" s="868"/>
      <c r="AA268" s="868"/>
      <c r="AB268" s="868"/>
      <c r="AC268" s="868"/>
      <c r="AD268" s="869"/>
      <c r="AE268" s="219" t="s">
        <v>718</v>
      </c>
      <c r="AF268" s="219" t="s">
        <v>719</v>
      </c>
      <c r="AG268" s="219" t="s">
        <v>720</v>
      </c>
    </row>
    <row r="269" spans="1:33">
      <c r="A269" s="186"/>
      <c r="B269" s="187"/>
      <c r="C269" s="866"/>
      <c r="D269" s="866"/>
      <c r="E269" s="866"/>
      <c r="F269" s="189" t="s">
        <v>721</v>
      </c>
      <c r="G269" s="189" t="s">
        <v>722</v>
      </c>
      <c r="H269" s="189" t="s">
        <v>723</v>
      </c>
      <c r="I269" s="189" t="s">
        <v>724</v>
      </c>
      <c r="J269" s="189" t="s">
        <v>725</v>
      </c>
      <c r="K269" s="189" t="s">
        <v>726</v>
      </c>
      <c r="L269" s="189" t="s">
        <v>727</v>
      </c>
      <c r="M269" s="189" t="s">
        <v>728</v>
      </c>
      <c r="N269" s="189" t="s">
        <v>729</v>
      </c>
      <c r="O269" s="189" t="s">
        <v>730</v>
      </c>
      <c r="P269" s="189" t="s">
        <v>731</v>
      </c>
      <c r="Q269" s="189" t="s">
        <v>732</v>
      </c>
      <c r="R269" s="189" t="s">
        <v>733</v>
      </c>
      <c r="S269" s="189" t="s">
        <v>734</v>
      </c>
      <c r="T269" s="189" t="s">
        <v>548</v>
      </c>
      <c r="U269" s="189" t="s">
        <v>549</v>
      </c>
      <c r="V269" s="189" t="s">
        <v>550</v>
      </c>
      <c r="W269" s="189" t="s">
        <v>551</v>
      </c>
      <c r="X269" s="189" t="s">
        <v>552</v>
      </c>
      <c r="Y269" s="189" t="s">
        <v>101</v>
      </c>
      <c r="Z269" s="189" t="s">
        <v>56</v>
      </c>
      <c r="AA269" s="189" t="s">
        <v>57</v>
      </c>
      <c r="AB269" s="189" t="s">
        <v>58</v>
      </c>
      <c r="AC269" s="189" t="s">
        <v>59</v>
      </c>
      <c r="AD269" s="189" t="s">
        <v>60</v>
      </c>
      <c r="AE269" s="219"/>
      <c r="AF269" s="219"/>
      <c r="AG269" s="219"/>
    </row>
    <row r="270" spans="1:33">
      <c r="A270" s="190" t="s">
        <v>735</v>
      </c>
      <c r="B270" s="191">
        <v>2005</v>
      </c>
      <c r="C270" s="190">
        <v>0</v>
      </c>
      <c r="D270" s="190">
        <v>0</v>
      </c>
      <c r="E270" s="200">
        <v>0</v>
      </c>
      <c r="F270" s="192"/>
      <c r="G270" s="192"/>
      <c r="H270" s="192"/>
      <c r="I270" s="192"/>
      <c r="J270" s="192"/>
      <c r="K270" s="220"/>
      <c r="L270" s="220"/>
      <c r="M270" s="220"/>
      <c r="N270" s="220"/>
      <c r="O270" s="220"/>
      <c r="P270" s="220"/>
      <c r="Q270" s="220"/>
      <c r="R270" s="220"/>
      <c r="S270" s="220"/>
      <c r="T270" s="220"/>
      <c r="U270" s="220"/>
      <c r="V270" s="220"/>
      <c r="W270" s="220"/>
      <c r="X270" s="220"/>
      <c r="Y270" s="220"/>
      <c r="Z270" s="220"/>
      <c r="AA270" s="220"/>
      <c r="AB270" s="220"/>
      <c r="AC270" s="220"/>
      <c r="AD270" s="220"/>
      <c r="AE270" s="222"/>
      <c r="AF270" s="222"/>
      <c r="AG270" s="222"/>
    </row>
    <row r="271" spans="1:33">
      <c r="A271" s="190" t="s">
        <v>736</v>
      </c>
      <c r="B271" s="191" t="s">
        <v>721</v>
      </c>
      <c r="C271" s="190">
        <v>0</v>
      </c>
      <c r="D271" s="190">
        <v>0</v>
      </c>
      <c r="E271" s="200">
        <v>0</v>
      </c>
      <c r="F271" s="193"/>
      <c r="G271" s="220"/>
      <c r="H271" s="220"/>
      <c r="I271" s="220"/>
      <c r="J271" s="220"/>
      <c r="K271" s="220"/>
      <c r="L271" s="220"/>
      <c r="M271" s="220"/>
      <c r="N271" s="220"/>
      <c r="O271" s="220"/>
      <c r="P271" s="220"/>
      <c r="Q271" s="220"/>
      <c r="R271" s="220"/>
      <c r="S271" s="220"/>
      <c r="T271" s="220"/>
      <c r="U271" s="220"/>
      <c r="V271" s="220"/>
      <c r="W271" s="220"/>
      <c r="X271" s="220"/>
      <c r="Y271" s="220"/>
      <c r="Z271" s="220"/>
      <c r="AA271" s="220"/>
      <c r="AB271" s="220"/>
      <c r="AC271" s="220"/>
      <c r="AD271" s="220"/>
      <c r="AE271" s="222"/>
      <c r="AF271" s="222"/>
      <c r="AG271" s="222"/>
    </row>
    <row r="272" spans="1:33">
      <c r="A272" s="190" t="s">
        <v>736</v>
      </c>
      <c r="B272" s="191" t="s">
        <v>722</v>
      </c>
      <c r="C272" s="190">
        <v>0</v>
      </c>
      <c r="D272" s="190">
        <v>0</v>
      </c>
      <c r="E272" s="200">
        <v>0</v>
      </c>
      <c r="F272" s="221"/>
      <c r="G272" s="193"/>
      <c r="H272" s="220"/>
      <c r="I272" s="220"/>
      <c r="J272" s="220"/>
      <c r="K272" s="220"/>
      <c r="L272" s="220"/>
      <c r="M272" s="220"/>
      <c r="N272" s="220"/>
      <c r="O272" s="220"/>
      <c r="P272" s="220"/>
      <c r="Q272" s="220"/>
      <c r="R272" s="220"/>
      <c r="S272" s="220"/>
      <c r="T272" s="220"/>
      <c r="U272" s="220"/>
      <c r="V272" s="220"/>
      <c r="W272" s="220"/>
      <c r="X272" s="220"/>
      <c r="Y272" s="220"/>
      <c r="Z272" s="220"/>
      <c r="AA272" s="220"/>
      <c r="AB272" s="220"/>
      <c r="AC272" s="220"/>
      <c r="AD272" s="220"/>
      <c r="AE272" s="222"/>
      <c r="AF272" s="222"/>
      <c r="AG272" s="222"/>
    </row>
    <row r="273" spans="1:33">
      <c r="A273" s="190" t="s">
        <v>736</v>
      </c>
      <c r="B273" s="191" t="s">
        <v>723</v>
      </c>
      <c r="C273" s="190">
        <v>0</v>
      </c>
      <c r="D273" s="190">
        <v>0</v>
      </c>
      <c r="E273" s="200">
        <v>0</v>
      </c>
      <c r="F273" s="221"/>
      <c r="G273" s="221"/>
      <c r="H273" s="193"/>
      <c r="I273" s="220"/>
      <c r="J273" s="220"/>
      <c r="K273" s="220"/>
      <c r="L273" s="220"/>
      <c r="M273" s="220"/>
      <c r="N273" s="220"/>
      <c r="O273" s="220"/>
      <c r="P273" s="220"/>
      <c r="Q273" s="220"/>
      <c r="R273" s="220"/>
      <c r="S273" s="220"/>
      <c r="T273" s="220"/>
      <c r="U273" s="220"/>
      <c r="V273" s="220"/>
      <c r="W273" s="220"/>
      <c r="X273" s="220"/>
      <c r="Y273" s="220"/>
      <c r="Z273" s="220"/>
      <c r="AA273" s="220"/>
      <c r="AB273" s="220"/>
      <c r="AC273" s="220"/>
      <c r="AD273" s="220"/>
      <c r="AE273" s="222"/>
      <c r="AF273" s="222"/>
      <c r="AG273" s="222"/>
    </row>
    <row r="274" spans="1:33">
      <c r="A274" s="190" t="s">
        <v>736</v>
      </c>
      <c r="B274" s="191" t="s">
        <v>724</v>
      </c>
      <c r="C274" s="190">
        <v>0</v>
      </c>
      <c r="D274" s="190">
        <v>0</v>
      </c>
      <c r="E274" s="200">
        <v>0</v>
      </c>
      <c r="F274" s="221"/>
      <c r="G274" s="221"/>
      <c r="H274" s="221"/>
      <c r="I274" s="193"/>
      <c r="J274" s="220"/>
      <c r="K274" s="220"/>
      <c r="L274" s="220"/>
      <c r="M274" s="220"/>
      <c r="N274" s="220"/>
      <c r="O274" s="220"/>
      <c r="P274" s="220"/>
      <c r="Q274" s="220"/>
      <c r="R274" s="220"/>
      <c r="S274" s="220"/>
      <c r="T274" s="220"/>
      <c r="U274" s="220"/>
      <c r="V274" s="220"/>
      <c r="W274" s="220"/>
      <c r="X274" s="220"/>
      <c r="Y274" s="220"/>
      <c r="Z274" s="220"/>
      <c r="AA274" s="220"/>
      <c r="AB274" s="220"/>
      <c r="AC274" s="220"/>
      <c r="AD274" s="220"/>
      <c r="AE274" s="222"/>
      <c r="AF274" s="222"/>
      <c r="AG274" s="222"/>
    </row>
    <row r="275" spans="1:33">
      <c r="A275" s="190" t="s">
        <v>736</v>
      </c>
      <c r="B275" s="191" t="s">
        <v>725</v>
      </c>
      <c r="C275" s="190">
        <v>0</v>
      </c>
      <c r="D275" s="190">
        <v>0</v>
      </c>
      <c r="E275" s="200">
        <v>0</v>
      </c>
      <c r="F275" s="221"/>
      <c r="G275" s="221"/>
      <c r="H275" s="221"/>
      <c r="I275" s="221"/>
      <c r="J275" s="193"/>
      <c r="K275" s="220"/>
      <c r="L275" s="220"/>
      <c r="M275" s="220"/>
      <c r="N275" s="220"/>
      <c r="O275" s="220"/>
      <c r="P275" s="220"/>
      <c r="Q275" s="220"/>
      <c r="R275" s="220"/>
      <c r="S275" s="220"/>
      <c r="T275" s="220"/>
      <c r="U275" s="220"/>
      <c r="V275" s="220"/>
      <c r="W275" s="220"/>
      <c r="X275" s="220"/>
      <c r="Y275" s="220"/>
      <c r="Z275" s="220"/>
      <c r="AA275" s="220"/>
      <c r="AB275" s="220"/>
      <c r="AC275" s="220"/>
      <c r="AD275" s="220"/>
      <c r="AE275" s="222"/>
      <c r="AF275" s="222"/>
      <c r="AG275" s="222"/>
    </row>
    <row r="276" spans="1:33">
      <c r="A276" s="190" t="s">
        <v>736</v>
      </c>
      <c r="B276" s="191" t="s">
        <v>726</v>
      </c>
      <c r="C276" s="190">
        <v>0</v>
      </c>
      <c r="D276" s="190">
        <v>0</v>
      </c>
      <c r="E276" s="200">
        <v>0</v>
      </c>
      <c r="F276" s="221"/>
      <c r="G276" s="221"/>
      <c r="H276" s="221"/>
      <c r="I276" s="221"/>
      <c r="J276" s="221"/>
      <c r="K276" s="193"/>
      <c r="L276" s="220"/>
      <c r="M276" s="220"/>
      <c r="N276" s="220"/>
      <c r="O276" s="220"/>
      <c r="P276" s="220"/>
      <c r="Q276" s="220"/>
      <c r="R276" s="220"/>
      <c r="S276" s="220"/>
      <c r="T276" s="220"/>
      <c r="U276" s="220"/>
      <c r="V276" s="220"/>
      <c r="W276" s="220"/>
      <c r="X276" s="220"/>
      <c r="Y276" s="220"/>
      <c r="Z276" s="220"/>
      <c r="AA276" s="220"/>
      <c r="AB276" s="220"/>
      <c r="AC276" s="220"/>
      <c r="AD276" s="220"/>
      <c r="AE276" s="222"/>
      <c r="AF276" s="222"/>
      <c r="AG276" s="222"/>
    </row>
    <row r="277" spans="1:33">
      <c r="A277" s="190" t="s">
        <v>736</v>
      </c>
      <c r="B277" s="191" t="s">
        <v>727</v>
      </c>
      <c r="C277" s="190">
        <v>0</v>
      </c>
      <c r="D277" s="190">
        <v>0</v>
      </c>
      <c r="E277" s="200">
        <v>0</v>
      </c>
      <c r="F277" s="221"/>
      <c r="G277" s="221"/>
      <c r="H277" s="221"/>
      <c r="I277" s="221"/>
      <c r="J277" s="221"/>
      <c r="K277" s="221"/>
      <c r="L277" s="193"/>
      <c r="M277" s="220"/>
      <c r="N277" s="220"/>
      <c r="O277" s="220"/>
      <c r="P277" s="220"/>
      <c r="Q277" s="220"/>
      <c r="R277" s="220"/>
      <c r="S277" s="220"/>
      <c r="T277" s="220"/>
      <c r="U277" s="220"/>
      <c r="V277" s="220"/>
      <c r="W277" s="220"/>
      <c r="X277" s="220"/>
      <c r="Y277" s="220"/>
      <c r="Z277" s="220"/>
      <c r="AA277" s="220"/>
      <c r="AB277" s="220"/>
      <c r="AC277" s="220"/>
      <c r="AD277" s="220"/>
      <c r="AE277" s="222"/>
      <c r="AF277" s="222"/>
      <c r="AG277" s="222"/>
    </row>
    <row r="278" spans="1:33">
      <c r="A278" s="190" t="s">
        <v>736</v>
      </c>
      <c r="B278" s="191" t="s">
        <v>728</v>
      </c>
      <c r="C278" s="190">
        <v>0</v>
      </c>
      <c r="D278" s="190">
        <v>0</v>
      </c>
      <c r="E278" s="200">
        <v>0</v>
      </c>
      <c r="F278" s="221"/>
      <c r="G278" s="221"/>
      <c r="H278" s="221"/>
      <c r="I278" s="221"/>
      <c r="J278" s="221"/>
      <c r="K278" s="221"/>
      <c r="L278" s="221"/>
      <c r="M278" s="193"/>
      <c r="N278" s="220"/>
      <c r="O278" s="220"/>
      <c r="P278" s="220"/>
      <c r="Q278" s="220"/>
      <c r="R278" s="220"/>
      <c r="S278" s="220"/>
      <c r="T278" s="220"/>
      <c r="U278" s="220"/>
      <c r="V278" s="220"/>
      <c r="W278" s="220"/>
      <c r="X278" s="220"/>
      <c r="Y278" s="220"/>
      <c r="Z278" s="220"/>
      <c r="AA278" s="220"/>
      <c r="AB278" s="220"/>
      <c r="AC278" s="220"/>
      <c r="AD278" s="220"/>
      <c r="AE278" s="222"/>
      <c r="AF278" s="222"/>
      <c r="AG278" s="222"/>
    </row>
    <row r="279" spans="1:33">
      <c r="A279" s="190" t="s">
        <v>736</v>
      </c>
      <c r="B279" s="191" t="s">
        <v>729</v>
      </c>
      <c r="C279" s="190">
        <v>0</v>
      </c>
      <c r="D279" s="190">
        <v>0</v>
      </c>
      <c r="E279" s="200">
        <v>0</v>
      </c>
      <c r="F279" s="221"/>
      <c r="G279" s="221"/>
      <c r="H279" s="221"/>
      <c r="I279" s="221"/>
      <c r="J279" s="221"/>
      <c r="K279" s="221"/>
      <c r="L279" s="221"/>
      <c r="M279" s="221"/>
      <c r="N279" s="193"/>
      <c r="O279" s="220"/>
      <c r="P279" s="220"/>
      <c r="Q279" s="220"/>
      <c r="R279" s="220"/>
      <c r="S279" s="220"/>
      <c r="T279" s="220"/>
      <c r="U279" s="220"/>
      <c r="V279" s="220"/>
      <c r="W279" s="220"/>
      <c r="X279" s="220"/>
      <c r="Y279" s="220"/>
      <c r="Z279" s="220"/>
      <c r="AA279" s="220"/>
      <c r="AB279" s="220"/>
      <c r="AC279" s="220"/>
      <c r="AD279" s="220"/>
      <c r="AE279" s="222"/>
      <c r="AF279" s="222"/>
      <c r="AG279" s="222"/>
    </row>
    <row r="280" spans="1:33">
      <c r="A280" s="190" t="s">
        <v>736</v>
      </c>
      <c r="B280" s="191" t="s">
        <v>730</v>
      </c>
      <c r="C280" s="190">
        <v>0</v>
      </c>
      <c r="D280" s="190">
        <v>0</v>
      </c>
      <c r="E280" s="200">
        <v>0</v>
      </c>
      <c r="F280" s="221"/>
      <c r="G280" s="221"/>
      <c r="H280" s="221"/>
      <c r="I280" s="221"/>
      <c r="J280" s="221"/>
      <c r="K280" s="221"/>
      <c r="L280" s="221"/>
      <c r="M280" s="221"/>
      <c r="N280" s="221"/>
      <c r="O280" s="193"/>
      <c r="P280" s="220"/>
      <c r="Q280" s="220"/>
      <c r="R280" s="220"/>
      <c r="S280" s="220"/>
      <c r="T280" s="220"/>
      <c r="U280" s="220"/>
      <c r="V280" s="220"/>
      <c r="W280" s="220"/>
      <c r="X280" s="220"/>
      <c r="Y280" s="220"/>
      <c r="Z280" s="220"/>
      <c r="AA280" s="220"/>
      <c r="AB280" s="220"/>
      <c r="AC280" s="220"/>
      <c r="AD280" s="220"/>
      <c r="AE280" s="222"/>
      <c r="AF280" s="222"/>
      <c r="AG280" s="222"/>
    </row>
    <row r="281" spans="1:33">
      <c r="A281" s="190" t="s">
        <v>736</v>
      </c>
      <c r="B281" s="191" t="s">
        <v>731</v>
      </c>
      <c r="C281" s="190">
        <v>0</v>
      </c>
      <c r="D281" s="190">
        <v>0</v>
      </c>
      <c r="E281" s="200">
        <v>0</v>
      </c>
      <c r="F281" s="221"/>
      <c r="G281" s="221"/>
      <c r="H281" s="221"/>
      <c r="I281" s="221"/>
      <c r="J281" s="221"/>
      <c r="K281" s="221"/>
      <c r="L281" s="221"/>
      <c r="M281" s="221"/>
      <c r="N281" s="221"/>
      <c r="O281" s="221"/>
      <c r="P281" s="193"/>
      <c r="Q281" s="220"/>
      <c r="R281" s="220"/>
      <c r="S281" s="220"/>
      <c r="T281" s="220"/>
      <c r="U281" s="220"/>
      <c r="V281" s="220"/>
      <c r="W281" s="220"/>
      <c r="X281" s="220"/>
      <c r="Y281" s="220"/>
      <c r="Z281" s="220"/>
      <c r="AA281" s="220"/>
      <c r="AB281" s="220"/>
      <c r="AC281" s="220"/>
      <c r="AD281" s="220"/>
      <c r="AE281" s="222"/>
      <c r="AF281" s="222"/>
      <c r="AG281" s="222"/>
    </row>
    <row r="282" spans="1:33">
      <c r="A282" s="190" t="s">
        <v>736</v>
      </c>
      <c r="B282" s="191" t="s">
        <v>732</v>
      </c>
      <c r="C282" s="190">
        <v>0</v>
      </c>
      <c r="D282" s="190">
        <v>0</v>
      </c>
      <c r="E282" s="200">
        <v>0</v>
      </c>
      <c r="F282" s="221"/>
      <c r="G282" s="221"/>
      <c r="H282" s="221"/>
      <c r="I282" s="221"/>
      <c r="J282" s="221"/>
      <c r="K282" s="221"/>
      <c r="L282" s="221"/>
      <c r="M282" s="221"/>
      <c r="N282" s="221"/>
      <c r="O282" s="221"/>
      <c r="P282" s="221"/>
      <c r="Q282" s="193"/>
      <c r="R282" s="220"/>
      <c r="S282" s="220"/>
      <c r="T282" s="220"/>
      <c r="U282" s="220"/>
      <c r="V282" s="220"/>
      <c r="W282" s="220"/>
      <c r="X282" s="220"/>
      <c r="Y282" s="220"/>
      <c r="Z282" s="220"/>
      <c r="AA282" s="220"/>
      <c r="AB282" s="220"/>
      <c r="AC282" s="220"/>
      <c r="AD282" s="220"/>
      <c r="AE282" s="222"/>
      <c r="AF282" s="222"/>
      <c r="AG282" s="222"/>
    </row>
    <row r="283" spans="1:33">
      <c r="A283" s="190" t="s">
        <v>736</v>
      </c>
      <c r="B283" s="191" t="s">
        <v>733</v>
      </c>
      <c r="C283" s="190">
        <v>0</v>
      </c>
      <c r="D283" s="190">
        <v>0</v>
      </c>
      <c r="E283" s="200">
        <v>0</v>
      </c>
      <c r="F283" s="221"/>
      <c r="G283" s="221"/>
      <c r="H283" s="221"/>
      <c r="I283" s="221"/>
      <c r="J283" s="221"/>
      <c r="K283" s="221"/>
      <c r="L283" s="221"/>
      <c r="M283" s="221"/>
      <c r="N283" s="221"/>
      <c r="O283" s="221"/>
      <c r="P283" s="221"/>
      <c r="Q283" s="221"/>
      <c r="R283" s="193"/>
      <c r="S283" s="220"/>
      <c r="T283" s="220"/>
      <c r="U283" s="220"/>
      <c r="V283" s="220"/>
      <c r="W283" s="220"/>
      <c r="X283" s="220"/>
      <c r="Y283" s="220"/>
      <c r="Z283" s="220"/>
      <c r="AA283" s="220"/>
      <c r="AB283" s="220"/>
      <c r="AC283" s="220"/>
      <c r="AD283" s="220"/>
      <c r="AE283" s="222"/>
      <c r="AF283" s="222"/>
      <c r="AG283" s="222"/>
    </row>
    <row r="284" spans="1:33">
      <c r="A284" s="190" t="s">
        <v>736</v>
      </c>
      <c r="B284" s="191" t="s">
        <v>734</v>
      </c>
      <c r="C284" s="190">
        <v>0</v>
      </c>
      <c r="D284" s="190">
        <v>0</v>
      </c>
      <c r="E284" s="200">
        <v>0</v>
      </c>
      <c r="F284" s="221"/>
      <c r="G284" s="221"/>
      <c r="H284" s="221"/>
      <c r="I284" s="221"/>
      <c r="J284" s="221"/>
      <c r="K284" s="221"/>
      <c r="L284" s="221"/>
      <c r="M284" s="221"/>
      <c r="N284" s="221"/>
      <c r="O284" s="221"/>
      <c r="P284" s="221"/>
      <c r="Q284" s="221"/>
      <c r="R284" s="221"/>
      <c r="S284" s="193"/>
      <c r="T284" s="220"/>
      <c r="U284" s="220"/>
      <c r="V284" s="220"/>
      <c r="W284" s="220"/>
      <c r="X284" s="220"/>
      <c r="Y284" s="220"/>
      <c r="Z284" s="220"/>
      <c r="AA284" s="220"/>
      <c r="AB284" s="220"/>
      <c r="AC284" s="220"/>
      <c r="AD284" s="220"/>
      <c r="AE284" s="222"/>
      <c r="AF284" s="222"/>
      <c r="AG284" s="222"/>
    </row>
    <row r="285" spans="1:33">
      <c r="A285" s="190" t="s">
        <v>736</v>
      </c>
      <c r="B285" s="191" t="s">
        <v>548</v>
      </c>
      <c r="C285" s="190">
        <v>0</v>
      </c>
      <c r="D285" s="190">
        <v>0</v>
      </c>
      <c r="E285" s="200">
        <v>0</v>
      </c>
      <c r="F285" s="221"/>
      <c r="G285" s="221"/>
      <c r="H285" s="221"/>
      <c r="I285" s="221"/>
      <c r="J285" s="221"/>
      <c r="K285" s="221"/>
      <c r="L285" s="221"/>
      <c r="M285" s="221"/>
      <c r="N285" s="221"/>
      <c r="O285" s="221"/>
      <c r="P285" s="221"/>
      <c r="Q285" s="221"/>
      <c r="R285" s="221"/>
      <c r="S285" s="221"/>
      <c r="T285" s="193"/>
      <c r="U285" s="220"/>
      <c r="V285" s="220"/>
      <c r="W285" s="220"/>
      <c r="X285" s="220"/>
      <c r="Y285" s="220"/>
      <c r="Z285" s="220"/>
      <c r="AA285" s="220"/>
      <c r="AB285" s="220"/>
      <c r="AC285" s="220"/>
      <c r="AD285" s="220"/>
      <c r="AE285" s="222"/>
      <c r="AF285" s="222"/>
      <c r="AG285" s="222"/>
    </row>
    <row r="286" spans="1:33">
      <c r="A286" s="190" t="s">
        <v>736</v>
      </c>
      <c r="B286" s="191" t="s">
        <v>549</v>
      </c>
      <c r="C286" s="190">
        <v>0</v>
      </c>
      <c r="D286" s="190">
        <v>0</v>
      </c>
      <c r="E286" s="200">
        <v>0</v>
      </c>
      <c r="F286" s="221"/>
      <c r="G286" s="221"/>
      <c r="H286" s="221"/>
      <c r="I286" s="221"/>
      <c r="J286" s="221"/>
      <c r="K286" s="221"/>
      <c r="L286" s="221"/>
      <c r="M286" s="221"/>
      <c r="N286" s="221"/>
      <c r="O286" s="221"/>
      <c r="P286" s="221"/>
      <c r="Q286" s="221"/>
      <c r="R286" s="221"/>
      <c r="S286" s="221"/>
      <c r="T286" s="221"/>
      <c r="U286" s="193"/>
      <c r="V286" s="220"/>
      <c r="W286" s="220"/>
      <c r="X286" s="220"/>
      <c r="Y286" s="220"/>
      <c r="Z286" s="220"/>
      <c r="AA286" s="220"/>
      <c r="AB286" s="220"/>
      <c r="AC286" s="220"/>
      <c r="AD286" s="220"/>
      <c r="AE286" s="222"/>
      <c r="AF286" s="222"/>
      <c r="AG286" s="222"/>
    </row>
    <row r="287" spans="1:33">
      <c r="A287" s="190" t="s">
        <v>736</v>
      </c>
      <c r="B287" s="191" t="s">
        <v>550</v>
      </c>
      <c r="C287" s="190">
        <v>0</v>
      </c>
      <c r="D287" s="190">
        <v>0</v>
      </c>
      <c r="E287" s="200">
        <v>0</v>
      </c>
      <c r="F287" s="221"/>
      <c r="G287" s="221"/>
      <c r="H287" s="221"/>
      <c r="I287" s="221"/>
      <c r="J287" s="221"/>
      <c r="K287" s="221"/>
      <c r="L287" s="221"/>
      <c r="M287" s="221"/>
      <c r="N287" s="221"/>
      <c r="O287" s="221"/>
      <c r="P287" s="221"/>
      <c r="Q287" s="221"/>
      <c r="R287" s="221"/>
      <c r="S287" s="221"/>
      <c r="T287" s="221"/>
      <c r="U287" s="221"/>
      <c r="V287" s="193"/>
      <c r="W287" s="220"/>
      <c r="X287" s="220"/>
      <c r="Y287" s="220"/>
      <c r="Z287" s="220"/>
      <c r="AA287" s="220"/>
      <c r="AB287" s="220"/>
      <c r="AC287" s="220"/>
      <c r="AD287" s="220"/>
      <c r="AE287" s="222">
        <f>V287</f>
        <v>0</v>
      </c>
      <c r="AF287" s="222"/>
      <c r="AG287" s="222">
        <f>C287-AE287</f>
        <v>0</v>
      </c>
    </row>
    <row r="288" spans="1:33">
      <c r="A288" s="190" t="s">
        <v>736</v>
      </c>
      <c r="B288" s="191" t="s">
        <v>551</v>
      </c>
      <c r="C288" s="190">
        <v>0</v>
      </c>
      <c r="D288" s="190">
        <v>0</v>
      </c>
      <c r="E288" s="200">
        <v>0</v>
      </c>
      <c r="F288" s="221"/>
      <c r="G288" s="221"/>
      <c r="H288" s="221"/>
      <c r="I288" s="221"/>
      <c r="J288" s="221"/>
      <c r="K288" s="221"/>
      <c r="L288" s="221"/>
      <c r="M288" s="221"/>
      <c r="N288" s="221"/>
      <c r="O288" s="221"/>
      <c r="P288" s="221"/>
      <c r="Q288" s="221"/>
      <c r="R288" s="221"/>
      <c r="S288" s="221"/>
      <c r="T288" s="221"/>
      <c r="U288" s="221"/>
      <c r="V288" s="221"/>
      <c r="W288" s="193"/>
      <c r="X288" s="220"/>
      <c r="Y288" s="220"/>
      <c r="Z288" s="220"/>
      <c r="AA288" s="220"/>
      <c r="AB288" s="220"/>
      <c r="AC288" s="220"/>
      <c r="AD288" s="220"/>
      <c r="AE288" s="222">
        <f>W288</f>
        <v>0</v>
      </c>
      <c r="AF288" s="222"/>
      <c r="AG288" s="222">
        <f t="shared" ref="AG288:AG295" si="2">C288-AE288</f>
        <v>0</v>
      </c>
    </row>
    <row r="289" spans="1:33">
      <c r="A289" s="190" t="s">
        <v>736</v>
      </c>
      <c r="B289" s="191" t="s">
        <v>552</v>
      </c>
      <c r="C289" s="192">
        <v>1346863</v>
      </c>
      <c r="D289" s="192">
        <v>213787.77777777778</v>
      </c>
      <c r="E289" s="200">
        <v>0.15</v>
      </c>
      <c r="F289" s="221"/>
      <c r="G289" s="221"/>
      <c r="H289" s="221"/>
      <c r="I289" s="221"/>
      <c r="J289" s="221"/>
      <c r="K289" s="221"/>
      <c r="L289" s="221"/>
      <c r="M289" s="221"/>
      <c r="N289" s="221"/>
      <c r="O289" s="221"/>
      <c r="P289" s="221"/>
      <c r="Q289" s="221"/>
      <c r="R289" s="221"/>
      <c r="S289" s="221"/>
      <c r="T289" s="221"/>
      <c r="U289" s="221"/>
      <c r="V289" s="221"/>
      <c r="W289" s="221"/>
      <c r="X289" s="193">
        <f>D289</f>
        <v>213787.77777777778</v>
      </c>
      <c r="Y289" s="220"/>
      <c r="Z289" s="220"/>
      <c r="AA289" s="220"/>
      <c r="AB289" s="220"/>
      <c r="AC289" s="220"/>
      <c r="AD289" s="220"/>
      <c r="AE289" s="222">
        <f>X289</f>
        <v>213787.77777777778</v>
      </c>
      <c r="AF289" s="222"/>
      <c r="AG289" s="222">
        <f t="shared" si="2"/>
        <v>1133075.2222222222</v>
      </c>
    </row>
    <row r="290" spans="1:33">
      <c r="A290" s="190" t="s">
        <v>736</v>
      </c>
      <c r="B290" s="191" t="s">
        <v>553</v>
      </c>
      <c r="C290" s="192">
        <f t="shared" ref="C290:C295" si="3">C289-D289</f>
        <v>1133075.2222222222</v>
      </c>
      <c r="D290" s="192">
        <v>213787.77777777778</v>
      </c>
      <c r="E290" s="200">
        <v>0.15</v>
      </c>
      <c r="F290" s="221"/>
      <c r="G290" s="221"/>
      <c r="H290" s="221"/>
      <c r="I290" s="221"/>
      <c r="J290" s="221"/>
      <c r="K290" s="221"/>
      <c r="L290" s="221"/>
      <c r="M290" s="221"/>
      <c r="N290" s="221"/>
      <c r="O290" s="221"/>
      <c r="P290" s="221"/>
      <c r="Q290" s="221"/>
      <c r="R290" s="221"/>
      <c r="S290" s="221"/>
      <c r="T290" s="221"/>
      <c r="U290" s="221"/>
      <c r="V290" s="221"/>
      <c r="W290" s="221"/>
      <c r="X290" s="221"/>
      <c r="Y290" s="193">
        <f>D290</f>
        <v>213787.77777777778</v>
      </c>
      <c r="Z290" s="220"/>
      <c r="AA290" s="220"/>
      <c r="AB290" s="220"/>
      <c r="AC290" s="220"/>
      <c r="AD290" s="220"/>
      <c r="AE290" s="222">
        <f>Y290</f>
        <v>213787.77777777778</v>
      </c>
      <c r="AF290" s="222"/>
      <c r="AG290" s="222">
        <f t="shared" si="2"/>
        <v>919287.4444444445</v>
      </c>
    </row>
    <row r="291" spans="1:33">
      <c r="A291" s="190" t="s">
        <v>736</v>
      </c>
      <c r="B291" t="s">
        <v>634</v>
      </c>
      <c r="C291" s="192">
        <f t="shared" si="3"/>
        <v>919287.4444444445</v>
      </c>
      <c r="D291" s="192">
        <v>213787.77777777778</v>
      </c>
      <c r="E291" s="200">
        <v>0.15</v>
      </c>
      <c r="F291" s="221"/>
      <c r="G291" s="221"/>
      <c r="H291" s="221"/>
      <c r="I291" s="221"/>
      <c r="J291" s="221"/>
      <c r="K291" s="221"/>
      <c r="L291" s="221"/>
      <c r="M291" s="221"/>
      <c r="N291" s="221"/>
      <c r="O291" s="221"/>
      <c r="P291" s="221"/>
      <c r="Q291" s="221"/>
      <c r="R291" s="221"/>
      <c r="S291" s="221"/>
      <c r="T291" s="221"/>
      <c r="U291" s="221"/>
      <c r="V291" s="221"/>
      <c r="W291" s="221"/>
      <c r="X291" s="221"/>
      <c r="Y291" s="221"/>
      <c r="Z291" s="193">
        <f>D291</f>
        <v>213787.77777777778</v>
      </c>
      <c r="AA291" s="220"/>
      <c r="AB291" s="220"/>
      <c r="AC291" s="220"/>
      <c r="AD291" s="220"/>
      <c r="AE291" s="222">
        <f>Z291</f>
        <v>213787.77777777778</v>
      </c>
      <c r="AF291" s="222"/>
      <c r="AG291" s="222">
        <f t="shared" si="2"/>
        <v>705499.66666666674</v>
      </c>
    </row>
    <row r="292" spans="1:33">
      <c r="A292" s="190" t="s">
        <v>736</v>
      </c>
      <c r="B292" t="s">
        <v>635</v>
      </c>
      <c r="C292" s="192">
        <f t="shared" si="3"/>
        <v>705499.66666666674</v>
      </c>
      <c r="D292" s="192">
        <v>213787.77777777778</v>
      </c>
      <c r="E292" s="200">
        <v>0.15</v>
      </c>
      <c r="F292" s="221"/>
      <c r="G292" s="221"/>
      <c r="H292" s="221"/>
      <c r="I292" s="221"/>
      <c r="J292" s="221"/>
      <c r="K292" s="221"/>
      <c r="L292" s="221"/>
      <c r="M292" s="221"/>
      <c r="N292" s="221"/>
      <c r="O292" s="221"/>
      <c r="P292" s="221"/>
      <c r="Q292" s="221"/>
      <c r="R292" s="221"/>
      <c r="S292" s="221"/>
      <c r="T292" s="221"/>
      <c r="U292" s="221"/>
      <c r="V292" s="221"/>
      <c r="W292" s="221"/>
      <c r="X292" s="221"/>
      <c r="Y292" s="221"/>
      <c r="Z292" s="221"/>
      <c r="AA292" s="193">
        <f>D292</f>
        <v>213787.77777777778</v>
      </c>
      <c r="AB292" s="220"/>
      <c r="AC292" s="220"/>
      <c r="AD292" s="220"/>
      <c r="AE292" s="222">
        <f>AA292</f>
        <v>213787.77777777778</v>
      </c>
      <c r="AF292" s="222"/>
      <c r="AG292" s="222">
        <f t="shared" si="2"/>
        <v>491711.88888888899</v>
      </c>
    </row>
    <row r="293" spans="1:33">
      <c r="A293" s="190" t="s">
        <v>736</v>
      </c>
      <c r="B293" t="s">
        <v>636</v>
      </c>
      <c r="C293" s="192">
        <f t="shared" si="3"/>
        <v>491711.88888888899</v>
      </c>
      <c r="D293" s="192">
        <v>213787.77777777778</v>
      </c>
      <c r="E293" s="200">
        <v>0.15</v>
      </c>
      <c r="F293" s="221"/>
      <c r="G293" s="221"/>
      <c r="H293" s="221"/>
      <c r="I293" s="221"/>
      <c r="J293" s="221"/>
      <c r="K293" s="221"/>
      <c r="L293" s="221"/>
      <c r="M293" s="221"/>
      <c r="N293" s="221"/>
      <c r="O293" s="221"/>
      <c r="P293" s="221"/>
      <c r="Q293" s="221"/>
      <c r="R293" s="221"/>
      <c r="S293" s="221"/>
      <c r="T293" s="221"/>
      <c r="U293" s="221"/>
      <c r="V293" s="221"/>
      <c r="W293" s="221"/>
      <c r="X293" s="221"/>
      <c r="Y293" s="221"/>
      <c r="Z293" s="221"/>
      <c r="AA293" s="221"/>
      <c r="AB293" s="193">
        <f>D293</f>
        <v>213787.77777777778</v>
      </c>
      <c r="AC293" s="220"/>
      <c r="AD293" s="220"/>
      <c r="AE293" s="222">
        <f>AB293</f>
        <v>213787.77777777778</v>
      </c>
      <c r="AF293" s="222"/>
      <c r="AG293" s="222">
        <f t="shared" si="2"/>
        <v>277924.11111111124</v>
      </c>
    </row>
    <row r="294" spans="1:33">
      <c r="A294" s="190" t="s">
        <v>736</v>
      </c>
      <c r="B294" t="s">
        <v>637</v>
      </c>
      <c r="C294" s="192">
        <f t="shared" si="3"/>
        <v>277924.11111111124</v>
      </c>
      <c r="D294" s="192">
        <v>213787.77777777778</v>
      </c>
      <c r="E294" s="200">
        <v>0.15</v>
      </c>
      <c r="F294" s="221"/>
      <c r="G294" s="221"/>
      <c r="H294" s="221"/>
      <c r="I294" s="221"/>
      <c r="J294" s="221"/>
      <c r="K294" s="221"/>
      <c r="L294" s="221"/>
      <c r="M294" s="221"/>
      <c r="N294" s="221"/>
      <c r="O294" s="221"/>
      <c r="P294" s="221"/>
      <c r="Q294" s="221"/>
      <c r="R294" s="221"/>
      <c r="S294" s="221"/>
      <c r="T294" s="221"/>
      <c r="U294" s="221"/>
      <c r="V294" s="221"/>
      <c r="W294" s="221"/>
      <c r="X294" s="221"/>
      <c r="Y294" s="221"/>
      <c r="Z294" s="221"/>
      <c r="AA294" s="221"/>
      <c r="AB294" s="221"/>
      <c r="AC294" s="193">
        <f>D294</f>
        <v>213787.77777777778</v>
      </c>
      <c r="AD294" s="220"/>
      <c r="AE294" s="222">
        <f>AC294</f>
        <v>213787.77777777778</v>
      </c>
      <c r="AF294" s="222"/>
      <c r="AG294" s="222">
        <f t="shared" si="2"/>
        <v>64136.333333333459</v>
      </c>
    </row>
    <row r="295" spans="1:33">
      <c r="A295" s="190" t="s">
        <v>736</v>
      </c>
      <c r="B295" t="s">
        <v>638</v>
      </c>
      <c r="C295" s="192">
        <f t="shared" si="3"/>
        <v>64136.333333333459</v>
      </c>
      <c r="D295" s="192">
        <f>MIN(C295,D294)</f>
        <v>64136.333333333459</v>
      </c>
      <c r="E295" s="200">
        <v>0.15</v>
      </c>
      <c r="F295" s="221"/>
      <c r="G295" s="221"/>
      <c r="H295" s="221"/>
      <c r="I295" s="221"/>
      <c r="J295" s="221"/>
      <c r="K295" s="221"/>
      <c r="L295" s="221"/>
      <c r="M295" s="221"/>
      <c r="N295" s="221"/>
      <c r="O295" s="221"/>
      <c r="P295" s="221"/>
      <c r="Q295" s="221"/>
      <c r="R295" s="221"/>
      <c r="S295" s="221"/>
      <c r="T295" s="221"/>
      <c r="U295" s="221"/>
      <c r="V295" s="221"/>
      <c r="W295" s="221"/>
      <c r="X295" s="221"/>
      <c r="Y295" s="221"/>
      <c r="Z295" s="221"/>
      <c r="AA295" s="221"/>
      <c r="AB295" s="221"/>
      <c r="AC295" s="221"/>
      <c r="AD295" s="193">
        <f>D295</f>
        <v>64136.333333333459</v>
      </c>
      <c r="AE295" s="222">
        <f>AD295</f>
        <v>64136.333333333459</v>
      </c>
      <c r="AF295" s="222"/>
      <c r="AG295" s="222">
        <f t="shared" si="2"/>
        <v>0</v>
      </c>
    </row>
    <row r="296" spans="1:33">
      <c r="A296" s="194"/>
      <c r="B296" s="195" t="s">
        <v>219</v>
      </c>
      <c r="C296" s="196"/>
      <c r="D296" s="196"/>
      <c r="E296" s="196"/>
      <c r="F296" s="196"/>
      <c r="G296" s="196"/>
      <c r="H296" s="196"/>
      <c r="I296" s="196"/>
      <c r="J296" s="196"/>
      <c r="K296" s="196"/>
      <c r="L296" s="196"/>
      <c r="M296" s="196"/>
      <c r="N296" s="196"/>
      <c r="O296" s="196"/>
      <c r="P296" s="196"/>
      <c r="Q296" s="196"/>
      <c r="R296" s="196"/>
      <c r="S296" s="196"/>
      <c r="T296" s="196"/>
      <c r="U296" s="196"/>
      <c r="V296" s="196"/>
      <c r="W296" s="196"/>
      <c r="X296" s="196"/>
      <c r="Y296" s="196"/>
      <c r="Z296" s="196"/>
      <c r="AA296" s="196"/>
      <c r="AB296" s="196"/>
      <c r="AC296" s="196"/>
      <c r="AD296" s="196"/>
      <c r="AE296" s="196"/>
      <c r="AF296" s="196"/>
      <c r="AG296" s="196"/>
    </row>
    <row r="297" spans="1:33">
      <c r="C297" s="203"/>
    </row>
    <row r="300" spans="1:33">
      <c r="B300" s="185" t="s">
        <v>219</v>
      </c>
      <c r="K300" s="218" t="s">
        <v>52</v>
      </c>
    </row>
    <row r="301" spans="1:33" ht="26.45">
      <c r="A301" s="186"/>
      <c r="B301" s="187" t="s">
        <v>713</v>
      </c>
      <c r="C301" s="865" t="s">
        <v>738</v>
      </c>
      <c r="D301" s="865" t="s">
        <v>715</v>
      </c>
      <c r="E301" s="865" t="s">
        <v>716</v>
      </c>
      <c r="F301" s="867" t="s">
        <v>717</v>
      </c>
      <c r="G301" s="868"/>
      <c r="H301" s="868"/>
      <c r="I301" s="868"/>
      <c r="J301" s="868"/>
      <c r="K301" s="868"/>
      <c r="L301" s="868"/>
      <c r="M301" s="868"/>
      <c r="N301" s="868"/>
      <c r="O301" s="868"/>
      <c r="P301" s="868"/>
      <c r="Q301" s="868"/>
      <c r="R301" s="868"/>
      <c r="S301" s="868"/>
      <c r="T301" s="868"/>
      <c r="U301" s="868"/>
      <c r="V301" s="868"/>
      <c r="W301" s="868"/>
      <c r="X301" s="868"/>
      <c r="Y301" s="868"/>
      <c r="Z301" s="868"/>
      <c r="AA301" s="868"/>
      <c r="AB301" s="868"/>
      <c r="AC301" s="868"/>
      <c r="AD301" s="869"/>
      <c r="AE301" s="219" t="s">
        <v>718</v>
      </c>
      <c r="AF301" s="219" t="s">
        <v>719</v>
      </c>
      <c r="AG301" s="219" t="s">
        <v>720</v>
      </c>
    </row>
    <row r="302" spans="1:33">
      <c r="A302" s="186"/>
      <c r="B302" s="187"/>
      <c r="C302" s="866"/>
      <c r="D302" s="866"/>
      <c r="E302" s="866"/>
      <c r="F302" s="189" t="s">
        <v>721</v>
      </c>
      <c r="G302" s="189" t="s">
        <v>722</v>
      </c>
      <c r="H302" s="189" t="s">
        <v>723</v>
      </c>
      <c r="I302" s="189" t="s">
        <v>724</v>
      </c>
      <c r="J302" s="189" t="s">
        <v>725</v>
      </c>
      <c r="K302" s="189" t="s">
        <v>726</v>
      </c>
      <c r="L302" s="189" t="s">
        <v>727</v>
      </c>
      <c r="M302" s="189" t="s">
        <v>728</v>
      </c>
      <c r="N302" s="189" t="s">
        <v>729</v>
      </c>
      <c r="O302" s="189" t="s">
        <v>730</v>
      </c>
      <c r="P302" s="189" t="s">
        <v>731</v>
      </c>
      <c r="Q302" s="189" t="s">
        <v>732</v>
      </c>
      <c r="R302" s="189" t="s">
        <v>733</v>
      </c>
      <c r="S302" s="189" t="s">
        <v>734</v>
      </c>
      <c r="T302" s="189" t="s">
        <v>548</v>
      </c>
      <c r="U302" s="189" t="s">
        <v>549</v>
      </c>
      <c r="V302" s="189" t="s">
        <v>550</v>
      </c>
      <c r="W302" s="189" t="s">
        <v>551</v>
      </c>
      <c r="X302" s="189" t="s">
        <v>552</v>
      </c>
      <c r="Y302" s="189" t="s">
        <v>101</v>
      </c>
      <c r="Z302" s="189" t="s">
        <v>56</v>
      </c>
      <c r="AA302" s="189" t="s">
        <v>57</v>
      </c>
      <c r="AB302" s="189" t="s">
        <v>58</v>
      </c>
      <c r="AC302" s="189" t="s">
        <v>59</v>
      </c>
      <c r="AD302" s="189" t="s">
        <v>60</v>
      </c>
      <c r="AE302" s="219"/>
      <c r="AF302" s="219"/>
      <c r="AG302" s="219"/>
    </row>
    <row r="303" spans="1:33">
      <c r="A303" s="190" t="s">
        <v>735</v>
      </c>
      <c r="B303" s="191">
        <v>2005</v>
      </c>
      <c r="C303" s="223">
        <f>SUM(C8,C39,C72,C105,C138,C171,C204,C270)</f>
        <v>0</v>
      </c>
      <c r="D303" s="223">
        <f t="shared" ref="D303" si="4">SUM(D8,D39,D72,D105,D138,D171,D204,D270)</f>
        <v>0</v>
      </c>
      <c r="E303" s="223"/>
      <c r="F303" s="192"/>
      <c r="G303" s="192"/>
      <c r="H303" s="192"/>
      <c r="I303" s="192"/>
      <c r="J303" s="192"/>
      <c r="K303" s="220"/>
      <c r="L303" s="220"/>
      <c r="M303" s="220"/>
      <c r="N303" s="220"/>
      <c r="O303" s="220"/>
      <c r="P303" s="220"/>
      <c r="Q303" s="220"/>
      <c r="R303" s="220"/>
      <c r="S303" s="220"/>
      <c r="T303" s="220"/>
      <c r="U303" s="220"/>
      <c r="V303" s="220"/>
      <c r="W303" s="220"/>
      <c r="X303" s="220"/>
      <c r="Y303" s="220"/>
      <c r="Z303" s="220"/>
      <c r="AA303" s="220"/>
      <c r="AB303" s="220"/>
      <c r="AC303" s="220"/>
      <c r="AD303" s="220"/>
      <c r="AE303" s="222"/>
      <c r="AF303" s="222"/>
      <c r="AG303" s="222"/>
    </row>
    <row r="304" spans="1:33">
      <c r="A304" s="190" t="s">
        <v>736</v>
      </c>
      <c r="B304" s="191" t="s">
        <v>721</v>
      </c>
      <c r="C304" s="223">
        <f t="shared" ref="C304:D304" si="5">SUM(C9,C40,C73,C106,C139,C172,C205,C271)</f>
        <v>0</v>
      </c>
      <c r="D304" s="223">
        <f t="shared" si="5"/>
        <v>0</v>
      </c>
      <c r="E304" s="200"/>
      <c r="F304" s="193">
        <f>SUM(F271,F238,F205,F139,F106)</f>
        <v>0</v>
      </c>
      <c r="G304" s="220"/>
      <c r="H304" s="220"/>
      <c r="I304" s="220"/>
      <c r="J304" s="220"/>
      <c r="K304" s="220"/>
      <c r="L304" s="220"/>
      <c r="M304" s="220"/>
      <c r="N304" s="220"/>
      <c r="O304" s="220"/>
      <c r="P304" s="220"/>
      <c r="Q304" s="220"/>
      <c r="R304" s="220"/>
      <c r="S304" s="220"/>
      <c r="T304" s="220"/>
      <c r="U304" s="220"/>
      <c r="V304" s="220"/>
      <c r="W304" s="220"/>
      <c r="X304" s="220"/>
      <c r="Y304" s="220"/>
      <c r="Z304" s="220"/>
      <c r="AA304" s="220"/>
      <c r="AB304" s="220"/>
      <c r="AC304" s="220"/>
      <c r="AD304" s="220"/>
      <c r="AE304" s="222"/>
      <c r="AF304" s="222"/>
      <c r="AG304" s="222"/>
    </row>
    <row r="305" spans="1:33">
      <c r="A305" s="190" t="s">
        <v>736</v>
      </c>
      <c r="B305" s="191" t="s">
        <v>722</v>
      </c>
      <c r="C305" s="223">
        <f t="shared" ref="C305:D305" si="6">SUM(C10,C41,C74,C107,C140,C173,C206,C272)</f>
        <v>0</v>
      </c>
      <c r="D305" s="223">
        <f t="shared" si="6"/>
        <v>0</v>
      </c>
      <c r="E305" s="200"/>
      <c r="F305" s="221"/>
      <c r="G305" s="193">
        <f>SUM(G272,G239,G206,G140,G107)</f>
        <v>0</v>
      </c>
      <c r="H305" s="220"/>
      <c r="I305" s="220"/>
      <c r="J305" s="220"/>
      <c r="K305" s="220"/>
      <c r="L305" s="220"/>
      <c r="M305" s="220"/>
      <c r="N305" s="220"/>
      <c r="O305" s="220"/>
      <c r="P305" s="220"/>
      <c r="Q305" s="220"/>
      <c r="R305" s="220"/>
      <c r="S305" s="220"/>
      <c r="T305" s="220"/>
      <c r="U305" s="220"/>
      <c r="V305" s="220"/>
      <c r="W305" s="220"/>
      <c r="X305" s="220"/>
      <c r="Y305" s="220"/>
      <c r="Z305" s="220"/>
      <c r="AA305" s="220"/>
      <c r="AB305" s="220"/>
      <c r="AC305" s="220"/>
      <c r="AD305" s="220"/>
      <c r="AE305" s="222"/>
      <c r="AF305" s="222"/>
      <c r="AG305" s="222"/>
    </row>
    <row r="306" spans="1:33">
      <c r="A306" s="190" t="s">
        <v>736</v>
      </c>
      <c r="B306" s="191" t="s">
        <v>723</v>
      </c>
      <c r="C306" s="223">
        <f t="shared" ref="C306:D306" si="7">SUM(C11,C42,C75,C108,C141,C174,C207,C273)</f>
        <v>0</v>
      </c>
      <c r="D306" s="223">
        <f t="shared" si="7"/>
        <v>0</v>
      </c>
      <c r="E306" s="200"/>
      <c r="F306" s="221"/>
      <c r="G306" s="221"/>
      <c r="H306" s="193">
        <f>SUM(H273,H240,H207,H141,H108)</f>
        <v>0</v>
      </c>
      <c r="I306" s="220"/>
      <c r="J306" s="220"/>
      <c r="K306" s="220"/>
      <c r="L306" s="220"/>
      <c r="M306" s="220"/>
      <c r="N306" s="220"/>
      <c r="O306" s="220"/>
      <c r="P306" s="220"/>
      <c r="Q306" s="220"/>
      <c r="R306" s="220"/>
      <c r="S306" s="220"/>
      <c r="T306" s="220"/>
      <c r="U306" s="220"/>
      <c r="V306" s="220"/>
      <c r="W306" s="220"/>
      <c r="X306" s="220"/>
      <c r="Y306" s="220"/>
      <c r="Z306" s="220"/>
      <c r="AA306" s="220"/>
      <c r="AB306" s="220"/>
      <c r="AC306" s="220"/>
      <c r="AD306" s="220"/>
      <c r="AE306" s="222"/>
      <c r="AF306" s="222"/>
      <c r="AG306" s="222"/>
    </row>
    <row r="307" spans="1:33">
      <c r="A307" s="190" t="s">
        <v>736</v>
      </c>
      <c r="B307" s="191" t="s">
        <v>724</v>
      </c>
      <c r="C307" s="223">
        <f t="shared" ref="C307:D307" si="8">SUM(C12,C43,C76,C109,C142,C175,C208,C274)</f>
        <v>0</v>
      </c>
      <c r="D307" s="223">
        <f t="shared" si="8"/>
        <v>0</v>
      </c>
      <c r="E307" s="200"/>
      <c r="F307" s="221"/>
      <c r="G307" s="221"/>
      <c r="H307" s="221"/>
      <c r="I307" s="193">
        <f>SUM(I274,I241,I208,I142,I109)</f>
        <v>0</v>
      </c>
      <c r="J307" s="220"/>
      <c r="K307" s="220"/>
      <c r="L307" s="220"/>
      <c r="M307" s="220"/>
      <c r="N307" s="220"/>
      <c r="O307" s="220"/>
      <c r="P307" s="220"/>
      <c r="Q307" s="220"/>
      <c r="R307" s="220"/>
      <c r="S307" s="220"/>
      <c r="T307" s="220"/>
      <c r="U307" s="220"/>
      <c r="V307" s="220"/>
      <c r="W307" s="220"/>
      <c r="X307" s="220"/>
      <c r="Y307" s="220"/>
      <c r="Z307" s="220"/>
      <c r="AA307" s="220"/>
      <c r="AB307" s="220"/>
      <c r="AC307" s="220"/>
      <c r="AD307" s="220"/>
      <c r="AE307" s="222"/>
      <c r="AF307" s="222"/>
      <c r="AG307" s="222"/>
    </row>
    <row r="308" spans="1:33">
      <c r="A308" s="190" t="s">
        <v>736</v>
      </c>
      <c r="B308" s="191" t="s">
        <v>725</v>
      </c>
      <c r="C308" s="223">
        <f t="shared" ref="C308:D308" si="9">SUM(C13,C44,C77,C110,C143,C176,C209,C275)</f>
        <v>0</v>
      </c>
      <c r="D308" s="223">
        <f t="shared" si="9"/>
        <v>0</v>
      </c>
      <c r="E308" s="200"/>
      <c r="F308" s="221"/>
      <c r="G308" s="221"/>
      <c r="H308" s="221"/>
      <c r="I308" s="221"/>
      <c r="J308" s="193">
        <f>SUM(J275,J242,J209,J143,J110)</f>
        <v>0</v>
      </c>
      <c r="K308" s="220"/>
      <c r="L308" s="220"/>
      <c r="M308" s="220"/>
      <c r="N308" s="220"/>
      <c r="O308" s="220"/>
      <c r="P308" s="220"/>
      <c r="Q308" s="220"/>
      <c r="R308" s="220"/>
      <c r="S308" s="220"/>
      <c r="T308" s="220"/>
      <c r="U308" s="220"/>
      <c r="V308" s="220"/>
      <c r="W308" s="220"/>
      <c r="X308" s="220"/>
      <c r="Y308" s="220"/>
      <c r="Z308" s="220"/>
      <c r="AA308" s="220"/>
      <c r="AB308" s="220"/>
      <c r="AC308" s="220"/>
      <c r="AD308" s="220"/>
      <c r="AE308" s="222"/>
      <c r="AF308" s="222"/>
      <c r="AG308" s="222"/>
    </row>
    <row r="309" spans="1:33">
      <c r="A309" s="190" t="s">
        <v>736</v>
      </c>
      <c r="B309" s="191" t="s">
        <v>726</v>
      </c>
      <c r="C309" s="223">
        <f t="shared" ref="C309:D309" si="10">SUM(C14,C45,C78,C111,C144,C177,C210,C276)</f>
        <v>0</v>
      </c>
      <c r="D309" s="223">
        <f t="shared" si="10"/>
        <v>0</v>
      </c>
      <c r="E309" s="200"/>
      <c r="F309" s="221"/>
      <c r="G309" s="221"/>
      <c r="H309" s="221"/>
      <c r="I309" s="221"/>
      <c r="J309" s="221"/>
      <c r="K309" s="193">
        <f>SUM(K276,K243,K210,K144,K111)</f>
        <v>0</v>
      </c>
      <c r="L309" s="220"/>
      <c r="M309" s="220"/>
      <c r="N309" s="220"/>
      <c r="O309" s="220"/>
      <c r="P309" s="220"/>
      <c r="Q309" s="220"/>
      <c r="R309" s="220"/>
      <c r="S309" s="220"/>
      <c r="T309" s="220"/>
      <c r="U309" s="220"/>
      <c r="V309" s="220"/>
      <c r="W309" s="220"/>
      <c r="X309" s="220"/>
      <c r="Y309" s="220"/>
      <c r="Z309" s="220"/>
      <c r="AA309" s="220"/>
      <c r="AB309" s="220"/>
      <c r="AC309" s="220"/>
      <c r="AD309" s="220"/>
      <c r="AE309" s="222"/>
      <c r="AF309" s="222"/>
      <c r="AG309" s="222"/>
    </row>
    <row r="310" spans="1:33">
      <c r="A310" s="190" t="s">
        <v>736</v>
      </c>
      <c r="B310" s="191" t="s">
        <v>727</v>
      </c>
      <c r="C310" s="223">
        <f t="shared" ref="C310:D310" si="11">SUM(C15,C46,C79,C112,C145,C178,C211,C277)</f>
        <v>0</v>
      </c>
      <c r="D310" s="223">
        <f t="shared" si="11"/>
        <v>0</v>
      </c>
      <c r="E310" s="200"/>
      <c r="F310" s="221"/>
      <c r="G310" s="221"/>
      <c r="H310" s="221"/>
      <c r="I310" s="221"/>
      <c r="J310" s="221"/>
      <c r="K310" s="221"/>
      <c r="L310" s="193">
        <f>SUM(L277,L244,L211,L145,L112)</f>
        <v>0</v>
      </c>
      <c r="M310" s="220"/>
      <c r="N310" s="220"/>
      <c r="O310" s="220"/>
      <c r="P310" s="220"/>
      <c r="Q310" s="220"/>
      <c r="R310" s="220"/>
      <c r="S310" s="220"/>
      <c r="T310" s="220"/>
      <c r="U310" s="220"/>
      <c r="V310" s="220"/>
      <c r="W310" s="220"/>
      <c r="X310" s="220"/>
      <c r="Y310" s="220"/>
      <c r="Z310" s="220"/>
      <c r="AA310" s="220"/>
      <c r="AB310" s="220"/>
      <c r="AC310" s="220"/>
      <c r="AD310" s="220"/>
      <c r="AE310" s="222"/>
      <c r="AF310" s="222"/>
      <c r="AG310" s="222"/>
    </row>
    <row r="311" spans="1:33">
      <c r="A311" s="190" t="s">
        <v>736</v>
      </c>
      <c r="B311" s="191" t="s">
        <v>728</v>
      </c>
      <c r="C311" s="223">
        <f t="shared" ref="C311:D311" si="12">SUM(C16,C47,C80,C113,C146,C179,C212,C278)</f>
        <v>0</v>
      </c>
      <c r="D311" s="223">
        <f t="shared" si="12"/>
        <v>0</v>
      </c>
      <c r="E311" s="200"/>
      <c r="F311" s="221"/>
      <c r="G311" s="221"/>
      <c r="H311" s="221"/>
      <c r="I311" s="221"/>
      <c r="J311" s="221"/>
      <c r="K311" s="221"/>
      <c r="L311" s="221"/>
      <c r="M311" s="193">
        <f>SUM(M278,M245,M212,M146,M113)</f>
        <v>0</v>
      </c>
      <c r="N311" s="220"/>
      <c r="O311" s="220"/>
      <c r="P311" s="220"/>
      <c r="Q311" s="220"/>
      <c r="R311" s="220"/>
      <c r="S311" s="220"/>
      <c r="T311" s="220"/>
      <c r="U311" s="220"/>
      <c r="V311" s="220"/>
      <c r="W311" s="220"/>
      <c r="X311" s="220"/>
      <c r="Y311" s="220"/>
      <c r="Z311" s="220"/>
      <c r="AA311" s="220"/>
      <c r="AB311" s="220"/>
      <c r="AC311" s="220"/>
      <c r="AD311" s="220"/>
      <c r="AE311" s="222"/>
      <c r="AF311" s="222"/>
      <c r="AG311" s="222"/>
    </row>
    <row r="312" spans="1:33">
      <c r="A312" s="190" t="s">
        <v>736</v>
      </c>
      <c r="B312" s="191" t="s">
        <v>729</v>
      </c>
      <c r="C312" s="223">
        <f t="shared" ref="C312:D312" si="13">SUM(C17,C48,C81,C114,C147,C180,C213,C279)</f>
        <v>0</v>
      </c>
      <c r="D312" s="223">
        <f t="shared" si="13"/>
        <v>0</v>
      </c>
      <c r="E312" s="200"/>
      <c r="F312" s="221"/>
      <c r="G312" s="221"/>
      <c r="H312" s="221"/>
      <c r="I312" s="221"/>
      <c r="J312" s="221"/>
      <c r="K312" s="221"/>
      <c r="L312" s="221"/>
      <c r="M312" s="221"/>
      <c r="N312" s="193">
        <f>SUM(N279,N246,N213,N147,N114)</f>
        <v>0</v>
      </c>
      <c r="O312" s="220"/>
      <c r="P312" s="220"/>
      <c r="Q312" s="220"/>
      <c r="R312" s="220"/>
      <c r="S312" s="220"/>
      <c r="T312" s="220"/>
      <c r="U312" s="220"/>
      <c r="V312" s="220"/>
      <c r="W312" s="220"/>
      <c r="X312" s="220"/>
      <c r="Y312" s="220"/>
      <c r="Z312" s="220"/>
      <c r="AA312" s="220"/>
      <c r="AB312" s="220"/>
      <c r="AC312" s="220"/>
      <c r="AD312" s="220"/>
      <c r="AE312" s="222"/>
      <c r="AF312" s="222"/>
      <c r="AG312" s="222"/>
    </row>
    <row r="313" spans="1:33">
      <c r="A313" s="190" t="s">
        <v>736</v>
      </c>
      <c r="B313" s="191" t="s">
        <v>730</v>
      </c>
      <c r="C313" s="223">
        <f t="shared" ref="C313:D313" si="14">SUM(C18,C49,C82,C115,C148,C181,C214,C280)</f>
        <v>0</v>
      </c>
      <c r="D313" s="223">
        <f t="shared" si="14"/>
        <v>0</v>
      </c>
      <c r="E313" s="200"/>
      <c r="F313" s="221"/>
      <c r="G313" s="221"/>
      <c r="H313" s="221"/>
      <c r="I313" s="221"/>
      <c r="J313" s="221"/>
      <c r="K313" s="221"/>
      <c r="L313" s="221"/>
      <c r="M313" s="221"/>
      <c r="N313" s="221"/>
      <c r="O313" s="193">
        <f>SUM(O280,O247,O214,O148,O115)</f>
        <v>0</v>
      </c>
      <c r="P313" s="220"/>
      <c r="Q313" s="220"/>
      <c r="R313" s="220"/>
      <c r="S313" s="220"/>
      <c r="T313" s="220"/>
      <c r="U313" s="220"/>
      <c r="V313" s="220"/>
      <c r="W313" s="220"/>
      <c r="X313" s="220"/>
      <c r="Y313" s="220"/>
      <c r="Z313" s="220"/>
      <c r="AA313" s="220"/>
      <c r="AB313" s="220"/>
      <c r="AC313" s="220"/>
      <c r="AD313" s="220"/>
      <c r="AE313" s="222"/>
      <c r="AF313" s="222"/>
      <c r="AG313" s="222"/>
    </row>
    <row r="314" spans="1:33">
      <c r="A314" s="190" t="s">
        <v>736</v>
      </c>
      <c r="B314" s="191" t="s">
        <v>731</v>
      </c>
      <c r="C314" s="223">
        <f t="shared" ref="C314:D314" si="15">SUM(C19,C50,C83,C116,C149,C182,C215,C281)</f>
        <v>0</v>
      </c>
      <c r="D314" s="223">
        <f t="shared" si="15"/>
        <v>0</v>
      </c>
      <c r="E314" s="200"/>
      <c r="F314" s="221"/>
      <c r="G314" s="221"/>
      <c r="H314" s="221"/>
      <c r="I314" s="221"/>
      <c r="J314" s="221"/>
      <c r="K314" s="221"/>
      <c r="L314" s="221"/>
      <c r="M314" s="221"/>
      <c r="N314" s="221"/>
      <c r="O314" s="221"/>
      <c r="P314" s="193">
        <f>SUM(P281,P248,P215,P149,P116)</f>
        <v>0</v>
      </c>
      <c r="Q314" s="220"/>
      <c r="R314" s="220"/>
      <c r="S314" s="220"/>
      <c r="T314" s="220"/>
      <c r="U314" s="220"/>
      <c r="V314" s="220"/>
      <c r="W314" s="220"/>
      <c r="X314" s="220"/>
      <c r="Y314" s="220"/>
      <c r="Z314" s="220"/>
      <c r="AA314" s="220"/>
      <c r="AB314" s="220"/>
      <c r="AC314" s="220"/>
      <c r="AD314" s="220"/>
      <c r="AE314" s="222"/>
      <c r="AF314" s="222"/>
      <c r="AG314" s="222"/>
    </row>
    <row r="315" spans="1:33">
      <c r="A315" s="190" t="s">
        <v>736</v>
      </c>
      <c r="B315" s="191" t="s">
        <v>732</v>
      </c>
      <c r="C315" s="223">
        <f t="shared" ref="C315:D315" si="16">SUM(C20,C51,C84,C117,C150,C183,C216,C282)</f>
        <v>0</v>
      </c>
      <c r="D315" s="223">
        <f t="shared" si="16"/>
        <v>0</v>
      </c>
      <c r="E315" s="200"/>
      <c r="F315" s="221"/>
      <c r="G315" s="221"/>
      <c r="H315" s="221"/>
      <c r="I315" s="221"/>
      <c r="J315" s="221"/>
      <c r="K315" s="221"/>
      <c r="L315" s="221"/>
      <c r="M315" s="221"/>
      <c r="N315" s="221"/>
      <c r="O315" s="221"/>
      <c r="P315" s="221"/>
      <c r="Q315" s="193">
        <f>SUM(Q282,Q249,Q216,Q150,Q117)</f>
        <v>0</v>
      </c>
      <c r="R315" s="220"/>
      <c r="S315" s="220"/>
      <c r="T315" s="220"/>
      <c r="U315" s="220"/>
      <c r="V315" s="220"/>
      <c r="W315" s="220"/>
      <c r="X315" s="220"/>
      <c r="Y315" s="220"/>
      <c r="Z315" s="220"/>
      <c r="AA315" s="220"/>
      <c r="AB315" s="220"/>
      <c r="AC315" s="220"/>
      <c r="AD315" s="220"/>
      <c r="AE315" s="222"/>
      <c r="AF315" s="222"/>
      <c r="AG315" s="222"/>
    </row>
    <row r="316" spans="1:33">
      <c r="A316" s="190" t="s">
        <v>736</v>
      </c>
      <c r="B316" s="191" t="s">
        <v>733</v>
      </c>
      <c r="C316" s="223">
        <f t="shared" ref="C316:D316" si="17">SUM(C21,C52,C85,C118,C151,C184,C217,C283)</f>
        <v>0</v>
      </c>
      <c r="D316" s="223">
        <f t="shared" si="17"/>
        <v>0</v>
      </c>
      <c r="E316" s="200"/>
      <c r="F316" s="221"/>
      <c r="G316" s="221"/>
      <c r="H316" s="221"/>
      <c r="I316" s="221"/>
      <c r="J316" s="221"/>
      <c r="K316" s="221"/>
      <c r="L316" s="221"/>
      <c r="M316" s="221"/>
      <c r="N316" s="221"/>
      <c r="O316" s="221"/>
      <c r="P316" s="221"/>
      <c r="Q316" s="221"/>
      <c r="R316" s="193">
        <f>SUM(R283,R250,R217,R151,R118)</f>
        <v>0</v>
      </c>
      <c r="S316" s="220"/>
      <c r="T316" s="220"/>
      <c r="U316" s="220"/>
      <c r="V316" s="220"/>
      <c r="W316" s="220"/>
      <c r="X316" s="220"/>
      <c r="Y316" s="220"/>
      <c r="Z316" s="220"/>
      <c r="AA316" s="220"/>
      <c r="AB316" s="220"/>
      <c r="AC316" s="220"/>
      <c r="AD316" s="220"/>
      <c r="AE316" s="222"/>
      <c r="AF316" s="222"/>
      <c r="AG316" s="222"/>
    </row>
    <row r="317" spans="1:33">
      <c r="A317" s="190" t="s">
        <v>736</v>
      </c>
      <c r="B317" s="191" t="s">
        <v>734</v>
      </c>
      <c r="C317" s="223">
        <f t="shared" ref="C317:D317" si="18">SUM(C22,C53,C86,C119,C152,C185,C218,C284)</f>
        <v>0</v>
      </c>
      <c r="D317" s="223">
        <f t="shared" si="18"/>
        <v>0</v>
      </c>
      <c r="E317" s="200"/>
      <c r="F317" s="221"/>
      <c r="G317" s="221"/>
      <c r="H317" s="221"/>
      <c r="I317" s="221"/>
      <c r="J317" s="221"/>
      <c r="K317" s="221"/>
      <c r="L317" s="221"/>
      <c r="M317" s="221"/>
      <c r="N317" s="221"/>
      <c r="O317" s="221"/>
      <c r="P317" s="221"/>
      <c r="Q317" s="221"/>
      <c r="R317" s="221"/>
      <c r="S317" s="193">
        <f>SUM(S284,S251,S218,S152,S119)</f>
        <v>0</v>
      </c>
      <c r="T317" s="220"/>
      <c r="U317" s="220"/>
      <c r="V317" s="220"/>
      <c r="W317" s="220"/>
      <c r="X317" s="220"/>
      <c r="Y317" s="220"/>
      <c r="Z317" s="220"/>
      <c r="AA317" s="220"/>
      <c r="AB317" s="220"/>
      <c r="AC317" s="220"/>
      <c r="AD317" s="220"/>
      <c r="AE317" s="222"/>
      <c r="AF317" s="222"/>
      <c r="AG317" s="222"/>
    </row>
    <row r="318" spans="1:33">
      <c r="A318" s="190" t="s">
        <v>736</v>
      </c>
      <c r="B318" s="191" t="s">
        <v>548</v>
      </c>
      <c r="C318" s="223">
        <f t="shared" ref="C318:D318" si="19">SUM(C23,C54,C87,C120,C153,C186,C219,C285)</f>
        <v>0</v>
      </c>
      <c r="D318" s="223">
        <f t="shared" si="19"/>
        <v>0</v>
      </c>
      <c r="E318" s="200"/>
      <c r="F318" s="221"/>
      <c r="G318" s="221"/>
      <c r="H318" s="221"/>
      <c r="I318" s="221"/>
      <c r="J318" s="221"/>
      <c r="K318" s="221"/>
      <c r="L318" s="221"/>
      <c r="M318" s="221"/>
      <c r="N318" s="221"/>
      <c r="O318" s="221"/>
      <c r="P318" s="221"/>
      <c r="Q318" s="221"/>
      <c r="R318" s="221"/>
      <c r="S318" s="221"/>
      <c r="T318" s="193">
        <f>SUM(T285,T252,T219,T153,T120)</f>
        <v>0</v>
      </c>
      <c r="U318" s="220"/>
      <c r="V318" s="220"/>
      <c r="W318" s="220"/>
      <c r="X318" s="220"/>
      <c r="Y318" s="220"/>
      <c r="Z318" s="220"/>
      <c r="AA318" s="220"/>
      <c r="AB318" s="220"/>
      <c r="AC318" s="220"/>
      <c r="AD318" s="220"/>
      <c r="AE318" s="222"/>
      <c r="AF318" s="222"/>
      <c r="AG318" s="222"/>
    </row>
    <row r="319" spans="1:33">
      <c r="A319" s="190" t="s">
        <v>736</v>
      </c>
      <c r="B319" s="191" t="s">
        <v>549</v>
      </c>
      <c r="C319" s="223">
        <f t="shared" ref="C319:D319" si="20">SUM(C24,C55,C88,C121,C154,C187,C220,C286)</f>
        <v>0</v>
      </c>
      <c r="D319" s="223">
        <f t="shared" si="20"/>
        <v>0</v>
      </c>
      <c r="E319" s="200"/>
      <c r="F319" s="221"/>
      <c r="G319" s="221"/>
      <c r="H319" s="221"/>
      <c r="I319" s="221"/>
      <c r="J319" s="221"/>
      <c r="K319" s="221"/>
      <c r="L319" s="221"/>
      <c r="M319" s="221"/>
      <c r="N319" s="221"/>
      <c r="O319" s="221"/>
      <c r="P319" s="221"/>
      <c r="Q319" s="221"/>
      <c r="R319" s="221"/>
      <c r="S319" s="221"/>
      <c r="T319" s="221"/>
      <c r="U319" s="193">
        <f>SUM(U286,U253,U220,U154,U121)</f>
        <v>0</v>
      </c>
      <c r="V319" s="220"/>
      <c r="W319" s="220"/>
      <c r="X319" s="220"/>
      <c r="Y319" s="220"/>
      <c r="Z319" s="220"/>
      <c r="AA319" s="220"/>
      <c r="AB319" s="220"/>
      <c r="AC319" s="220"/>
      <c r="AD319" s="220"/>
      <c r="AE319" s="222"/>
      <c r="AF319" s="222"/>
      <c r="AG319" s="222"/>
    </row>
    <row r="320" spans="1:33">
      <c r="A320" s="190" t="s">
        <v>736</v>
      </c>
      <c r="B320" s="191" t="s">
        <v>550</v>
      </c>
      <c r="C320" s="223">
        <f t="shared" ref="C320:D320" si="21">SUM(C25,C56,C89,C122,C155,C188,C221,C287)</f>
        <v>979982</v>
      </c>
      <c r="D320" s="223">
        <f t="shared" si="21"/>
        <v>93098.29</v>
      </c>
      <c r="E320" s="200"/>
      <c r="F320" s="221"/>
      <c r="G320" s="221"/>
      <c r="H320" s="221"/>
      <c r="I320" s="221"/>
      <c r="J320" s="221"/>
      <c r="K320" s="221"/>
      <c r="L320" s="221"/>
      <c r="M320" s="221"/>
      <c r="N320" s="221"/>
      <c r="O320" s="221"/>
      <c r="P320" s="221"/>
      <c r="Q320" s="221"/>
      <c r="R320" s="221"/>
      <c r="S320" s="221"/>
      <c r="T320" s="221"/>
      <c r="U320" s="221"/>
      <c r="V320" s="193">
        <f>SUM(V287,V254,V221,V155,V122)</f>
        <v>93098.29</v>
      </c>
      <c r="W320" s="220"/>
      <c r="X320" s="220"/>
      <c r="Y320" s="220"/>
      <c r="Z320" s="220"/>
      <c r="AA320" s="220"/>
      <c r="AB320" s="220"/>
      <c r="AC320" s="220"/>
      <c r="AD320" s="220"/>
      <c r="AE320" s="222">
        <f>V320</f>
        <v>93098.29</v>
      </c>
      <c r="AF320" s="222"/>
      <c r="AG320" s="222">
        <f>C320-AE320</f>
        <v>886883.71</v>
      </c>
    </row>
    <row r="321" spans="1:33">
      <c r="A321" s="190" t="s">
        <v>736</v>
      </c>
      <c r="B321" s="191" t="s">
        <v>551</v>
      </c>
      <c r="C321" s="223">
        <f t="shared" ref="C321:D321" si="22">SUM(C26,C57,C90,C123,C156,C189,C222,C288)</f>
        <v>886883.71</v>
      </c>
      <c r="D321" s="223">
        <f t="shared" si="22"/>
        <v>93098.29</v>
      </c>
      <c r="E321" s="200"/>
      <c r="F321" s="221"/>
      <c r="G321" s="221"/>
      <c r="H321" s="221"/>
      <c r="I321" s="221"/>
      <c r="J321" s="221"/>
      <c r="K321" s="221"/>
      <c r="L321" s="221"/>
      <c r="M321" s="221"/>
      <c r="N321" s="221"/>
      <c r="O321" s="221"/>
      <c r="P321" s="221"/>
      <c r="Q321" s="221"/>
      <c r="R321" s="221"/>
      <c r="S321" s="221"/>
      <c r="T321" s="221"/>
      <c r="U321" s="221"/>
      <c r="V321" s="221"/>
      <c r="W321" s="193">
        <f>SUM(W288,W255,W222,W156,W123)</f>
        <v>93098.29</v>
      </c>
      <c r="X321" s="220"/>
      <c r="Y321" s="220"/>
      <c r="Z321" s="220"/>
      <c r="AA321" s="220"/>
      <c r="AB321" s="220"/>
      <c r="AC321" s="220"/>
      <c r="AD321" s="220"/>
      <c r="AE321" s="222">
        <f>W321</f>
        <v>93098.29</v>
      </c>
      <c r="AF321" s="222"/>
      <c r="AG321" s="222">
        <f t="shared" ref="AG321:AG328" si="23">C321-AE321</f>
        <v>793785.41999999993</v>
      </c>
    </row>
    <row r="322" spans="1:33">
      <c r="A322" s="190" t="s">
        <v>736</v>
      </c>
      <c r="B322" s="191" t="s">
        <v>552</v>
      </c>
      <c r="C322" s="223">
        <f t="shared" ref="C322:D322" si="24">SUM(C27,C58,C91,C124,C157,C190,C223,C289)</f>
        <v>2140648.42</v>
      </c>
      <c r="D322" s="223">
        <f t="shared" si="24"/>
        <v>306886.06777777779</v>
      </c>
      <c r="E322" s="200"/>
      <c r="F322" s="221"/>
      <c r="G322" s="221"/>
      <c r="H322" s="221"/>
      <c r="I322" s="221"/>
      <c r="J322" s="221"/>
      <c r="K322" s="221"/>
      <c r="L322" s="221"/>
      <c r="M322" s="221"/>
      <c r="N322" s="221"/>
      <c r="O322" s="221"/>
      <c r="P322" s="221"/>
      <c r="Q322" s="221"/>
      <c r="R322" s="221"/>
      <c r="S322" s="221"/>
      <c r="T322" s="221"/>
      <c r="U322" s="221"/>
      <c r="V322" s="221"/>
      <c r="W322" s="221"/>
      <c r="X322" s="193">
        <f>SUM(X289,X256,X223,X157,X124)</f>
        <v>306886.06777777779</v>
      </c>
      <c r="Y322" s="220"/>
      <c r="Z322" s="220"/>
      <c r="AA322" s="220"/>
      <c r="AB322" s="220"/>
      <c r="AC322" s="220"/>
      <c r="AD322" s="220"/>
      <c r="AE322" s="222">
        <f>X322</f>
        <v>306886.06777777779</v>
      </c>
      <c r="AF322" s="222"/>
      <c r="AG322" s="222">
        <f t="shared" si="23"/>
        <v>1833762.3522222221</v>
      </c>
    </row>
    <row r="323" spans="1:33">
      <c r="A323" s="190" t="s">
        <v>736</v>
      </c>
      <c r="B323" s="191" t="s">
        <v>553</v>
      </c>
      <c r="C323" s="223">
        <f t="shared" ref="C323:D323" si="25">SUM(C28,C59,C92,C125,C158,C191,C224,C290)</f>
        <v>1833762.3522222221</v>
      </c>
      <c r="D323" s="223">
        <f t="shared" si="25"/>
        <v>306886.06777777779</v>
      </c>
      <c r="E323" s="200"/>
      <c r="F323" s="221"/>
      <c r="G323" s="221"/>
      <c r="H323" s="221"/>
      <c r="I323" s="221"/>
      <c r="J323" s="221"/>
      <c r="K323" s="221"/>
      <c r="L323" s="221"/>
      <c r="M323" s="221"/>
      <c r="N323" s="221"/>
      <c r="O323" s="221"/>
      <c r="P323" s="221"/>
      <c r="Q323" s="221"/>
      <c r="R323" s="221"/>
      <c r="S323" s="221"/>
      <c r="T323" s="221"/>
      <c r="U323" s="221"/>
      <c r="V323" s="221"/>
      <c r="W323" s="221"/>
      <c r="X323" s="221"/>
      <c r="Y323" s="193">
        <f>SUM(Y290,Y257,Y224,Y158,Y125)</f>
        <v>306886.06777777779</v>
      </c>
      <c r="Z323" s="220"/>
      <c r="AA323" s="220"/>
      <c r="AB323" s="220"/>
      <c r="AC323" s="220"/>
      <c r="AD323" s="220"/>
      <c r="AE323" s="222">
        <f>Y323</f>
        <v>306886.06777777779</v>
      </c>
      <c r="AF323" s="222"/>
      <c r="AG323" s="222">
        <f t="shared" si="23"/>
        <v>1526876.2844444443</v>
      </c>
    </row>
    <row r="324" spans="1:33">
      <c r="A324" s="190" t="s">
        <v>736</v>
      </c>
      <c r="B324" t="s">
        <v>634</v>
      </c>
      <c r="C324" s="223">
        <f t="shared" ref="C324:D324" si="26">SUM(C29,C60,C93,C126,C159,C192,C225,C291)</f>
        <v>1526876.2844444443</v>
      </c>
      <c r="D324" s="223">
        <f t="shared" si="26"/>
        <v>306886.06777777779</v>
      </c>
      <c r="E324" s="200"/>
      <c r="F324" s="221"/>
      <c r="G324" s="221"/>
      <c r="H324" s="221"/>
      <c r="I324" s="221"/>
      <c r="J324" s="221"/>
      <c r="K324" s="221"/>
      <c r="L324" s="221"/>
      <c r="M324" s="221"/>
      <c r="N324" s="221"/>
      <c r="O324" s="221"/>
      <c r="P324" s="221"/>
      <c r="Q324" s="221"/>
      <c r="R324" s="221"/>
      <c r="S324" s="221"/>
      <c r="T324" s="221"/>
      <c r="U324" s="221"/>
      <c r="V324" s="221"/>
      <c r="W324" s="221"/>
      <c r="X324" s="221"/>
      <c r="Y324" s="221"/>
      <c r="Z324" s="193">
        <f>SUM(Z291,Z258,Z225,Z159,Z126)</f>
        <v>306886.06777777779</v>
      </c>
      <c r="AA324" s="220"/>
      <c r="AB324" s="220"/>
      <c r="AC324" s="220"/>
      <c r="AD324" s="220"/>
      <c r="AE324" s="222">
        <f>Z324</f>
        <v>306886.06777777779</v>
      </c>
      <c r="AF324" s="222"/>
      <c r="AG324" s="222">
        <f t="shared" si="23"/>
        <v>1219990.2166666666</v>
      </c>
    </row>
    <row r="325" spans="1:33">
      <c r="A325" s="190" t="s">
        <v>736</v>
      </c>
      <c r="B325" t="s">
        <v>635</v>
      </c>
      <c r="C325" s="223">
        <f t="shared" ref="C325:D325" si="27">SUM(C30,C61,C94,C127,C160,C193,C226,C292)</f>
        <v>1219990.2166666666</v>
      </c>
      <c r="D325" s="223">
        <f t="shared" si="27"/>
        <v>306886.06777777779</v>
      </c>
      <c r="E325" s="200"/>
      <c r="F325" s="221"/>
      <c r="G325" s="221"/>
      <c r="H325" s="221"/>
      <c r="I325" s="221"/>
      <c r="J325" s="221"/>
      <c r="K325" s="221"/>
      <c r="L325" s="221"/>
      <c r="M325" s="221"/>
      <c r="N325" s="221"/>
      <c r="O325" s="221"/>
      <c r="P325" s="221"/>
      <c r="Q325" s="221"/>
      <c r="R325" s="221"/>
      <c r="S325" s="221"/>
      <c r="T325" s="221"/>
      <c r="U325" s="221"/>
      <c r="V325" s="221"/>
      <c r="W325" s="221"/>
      <c r="X325" s="221"/>
      <c r="Y325" s="221"/>
      <c r="Z325" s="221"/>
      <c r="AA325" s="193">
        <f>SUM(AA292,AA259,AA226,AA160,AA127)</f>
        <v>306886.06777777779</v>
      </c>
      <c r="AB325" s="220"/>
      <c r="AC325" s="220"/>
      <c r="AD325" s="220"/>
      <c r="AE325" s="222">
        <f>AA325</f>
        <v>306886.06777777779</v>
      </c>
      <c r="AF325" s="222"/>
      <c r="AG325" s="222">
        <f t="shared" si="23"/>
        <v>913104.14888888877</v>
      </c>
    </row>
    <row r="326" spans="1:33">
      <c r="A326" s="190" t="s">
        <v>736</v>
      </c>
      <c r="B326" t="s">
        <v>636</v>
      </c>
      <c r="C326" s="223">
        <f t="shared" ref="C326:D326" si="28">SUM(C31,C62,C95,C128,C161,C194,C227,C293)</f>
        <v>913104.14888888889</v>
      </c>
      <c r="D326" s="223">
        <f t="shared" si="28"/>
        <v>306886.06777777779</v>
      </c>
      <c r="E326" s="200"/>
      <c r="F326" s="221"/>
      <c r="G326" s="221"/>
      <c r="H326" s="221"/>
      <c r="I326" s="221"/>
      <c r="J326" s="221"/>
      <c r="K326" s="221"/>
      <c r="L326" s="221"/>
      <c r="M326" s="221"/>
      <c r="N326" s="221"/>
      <c r="O326" s="221"/>
      <c r="P326" s="221"/>
      <c r="Q326" s="221"/>
      <c r="R326" s="221"/>
      <c r="S326" s="221"/>
      <c r="T326" s="221"/>
      <c r="U326" s="221"/>
      <c r="V326" s="221"/>
      <c r="W326" s="221"/>
      <c r="X326" s="221"/>
      <c r="Y326" s="221"/>
      <c r="Z326" s="221"/>
      <c r="AA326" s="221"/>
      <c r="AB326" s="193">
        <f>SUM(AB293,AB260,AB227,AB161,AB128)</f>
        <v>306886.06777777779</v>
      </c>
      <c r="AC326" s="220"/>
      <c r="AD326" s="220"/>
      <c r="AE326" s="222">
        <f>AB326</f>
        <v>306886.06777777779</v>
      </c>
      <c r="AF326" s="222"/>
      <c r="AG326" s="222">
        <f t="shared" si="23"/>
        <v>606218.0811111111</v>
      </c>
    </row>
    <row r="327" spans="1:33">
      <c r="A327" s="190" t="s">
        <v>736</v>
      </c>
      <c r="B327" t="s">
        <v>637</v>
      </c>
      <c r="C327" s="223">
        <f t="shared" ref="C327:D327" si="29">SUM(C32,C63,C96,C129,C162,C195,C228,C294)</f>
        <v>606218.08111111121</v>
      </c>
      <c r="D327" s="223">
        <f t="shared" si="29"/>
        <v>306886.06777777779</v>
      </c>
      <c r="E327" s="200"/>
      <c r="F327" s="221"/>
      <c r="G327" s="221"/>
      <c r="H327" s="221"/>
      <c r="I327" s="221"/>
      <c r="J327" s="221"/>
      <c r="K327" s="221"/>
      <c r="L327" s="221"/>
      <c r="M327" s="221"/>
      <c r="N327" s="221"/>
      <c r="O327" s="221"/>
      <c r="P327" s="221"/>
      <c r="Q327" s="221"/>
      <c r="R327" s="221"/>
      <c r="S327" s="221"/>
      <c r="T327" s="221"/>
      <c r="U327" s="221"/>
      <c r="V327" s="221"/>
      <c r="W327" s="221"/>
      <c r="X327" s="221"/>
      <c r="Y327" s="221"/>
      <c r="Z327" s="221"/>
      <c r="AA327" s="221"/>
      <c r="AB327" s="221"/>
      <c r="AC327" s="193">
        <f>SUM(AC294,AC261,AC228,AC162,AC129)</f>
        <v>306886.06777777779</v>
      </c>
      <c r="AD327" s="220"/>
      <c r="AE327" s="222">
        <f>AC327</f>
        <v>306886.06777777779</v>
      </c>
      <c r="AF327" s="222"/>
      <c r="AG327" s="222">
        <f t="shared" si="23"/>
        <v>299332.01333333342</v>
      </c>
    </row>
    <row r="328" spans="1:33">
      <c r="A328" s="190" t="s">
        <v>736</v>
      </c>
      <c r="B328" t="s">
        <v>638</v>
      </c>
      <c r="C328" s="223">
        <f t="shared" ref="C328:D328" si="30">SUM(C33,C64,C97,C130,C163,C196,C229,C295)</f>
        <v>299332.01333333342</v>
      </c>
      <c r="D328" s="223">
        <f t="shared" si="30"/>
        <v>157234.62333333347</v>
      </c>
      <c r="E328" s="200"/>
      <c r="F328" s="221"/>
      <c r="G328" s="221"/>
      <c r="H328" s="221"/>
      <c r="I328" s="221"/>
      <c r="J328" s="221"/>
      <c r="K328" s="221"/>
      <c r="L328" s="221"/>
      <c r="M328" s="221"/>
      <c r="N328" s="221"/>
      <c r="O328" s="221"/>
      <c r="P328" s="221"/>
      <c r="Q328" s="221"/>
      <c r="R328" s="221"/>
      <c r="S328" s="221"/>
      <c r="T328" s="221"/>
      <c r="U328" s="221"/>
      <c r="V328" s="221"/>
      <c r="W328" s="221"/>
      <c r="X328" s="221"/>
      <c r="Y328" s="221"/>
      <c r="Z328" s="221"/>
      <c r="AA328" s="221"/>
      <c r="AB328" s="221"/>
      <c r="AC328" s="221"/>
      <c r="AD328" s="193">
        <f>SUM(AD295,AD262,AD229,AD163,AD130)</f>
        <v>157234.62333333347</v>
      </c>
      <c r="AE328" s="222">
        <f>AD328</f>
        <v>157234.62333333347</v>
      </c>
      <c r="AF328" s="222"/>
      <c r="AG328" s="222">
        <f t="shared" si="23"/>
        <v>142097.38999999996</v>
      </c>
    </row>
    <row r="329" spans="1:33">
      <c r="A329" s="194"/>
      <c r="B329" s="195" t="s">
        <v>219</v>
      </c>
      <c r="C329" s="196"/>
      <c r="D329" s="196"/>
      <c r="E329" s="196"/>
      <c r="F329" s="196"/>
      <c r="G329" s="196"/>
      <c r="H329" s="196"/>
      <c r="I329" s="196"/>
      <c r="J329" s="196"/>
      <c r="K329" s="196"/>
      <c r="L329" s="196"/>
      <c r="M329" s="196"/>
      <c r="N329" s="196"/>
      <c r="O329" s="196"/>
      <c r="P329" s="196"/>
      <c r="Q329" s="196"/>
      <c r="R329" s="196"/>
      <c r="S329" s="196"/>
      <c r="T329" s="196"/>
      <c r="U329" s="196"/>
      <c r="V329" s="196"/>
      <c r="W329" s="196"/>
      <c r="X329" s="196"/>
      <c r="Y329" s="196"/>
      <c r="Z329" s="196"/>
      <c r="AA329" s="196"/>
      <c r="AB329" s="196"/>
      <c r="AC329" s="196"/>
      <c r="AD329" s="196"/>
      <c r="AE329" s="196"/>
      <c r="AF329" s="196"/>
      <c r="AG329" s="196"/>
    </row>
  </sheetData>
  <mergeCells count="44">
    <mergeCell ref="C37:C38"/>
    <mergeCell ref="D37:D38"/>
    <mergeCell ref="E37:E38"/>
    <mergeCell ref="F37:AD37"/>
    <mergeCell ref="C202:C203"/>
    <mergeCell ref="D202:D203"/>
    <mergeCell ref="E202:E203"/>
    <mergeCell ref="F202:AD202"/>
    <mergeCell ref="C70:C71"/>
    <mergeCell ref="D70:D71"/>
    <mergeCell ref="E70:E71"/>
    <mergeCell ref="F70:AD70"/>
    <mergeCell ref="C103:C104"/>
    <mergeCell ref="D103:D104"/>
    <mergeCell ref="E103:E104"/>
    <mergeCell ref="F103:AD103"/>
    <mergeCell ref="B6:B7"/>
    <mergeCell ref="C6:C7"/>
    <mergeCell ref="D6:D7"/>
    <mergeCell ref="E6:E7"/>
    <mergeCell ref="A2:Y2"/>
    <mergeCell ref="A3:Y3"/>
    <mergeCell ref="A4:Y4"/>
    <mergeCell ref="F6:AD6"/>
    <mergeCell ref="C136:C137"/>
    <mergeCell ref="D136:D137"/>
    <mergeCell ref="E136:E137"/>
    <mergeCell ref="F136:AD136"/>
    <mergeCell ref="C169:C170"/>
    <mergeCell ref="D169:D170"/>
    <mergeCell ref="E169:E170"/>
    <mergeCell ref="F169:AD169"/>
    <mergeCell ref="C301:C302"/>
    <mergeCell ref="D301:D302"/>
    <mergeCell ref="E301:E302"/>
    <mergeCell ref="F301:AD301"/>
    <mergeCell ref="C235:C236"/>
    <mergeCell ref="D235:D236"/>
    <mergeCell ref="E235:E236"/>
    <mergeCell ref="F235:AD235"/>
    <mergeCell ref="C268:C269"/>
    <mergeCell ref="D268:D269"/>
    <mergeCell ref="E268:E269"/>
    <mergeCell ref="F268:AD26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31"/>
  <sheetViews>
    <sheetView showGridLines="0" view="pageBreakPreview" topLeftCell="A6" zoomScale="91" zoomScaleNormal="50" zoomScaleSheetLayoutView="85" workbookViewId="0">
      <selection activeCell="E10" sqref="E10:I14"/>
    </sheetView>
  </sheetViews>
  <sheetFormatPr defaultColWidth="9.140625" defaultRowHeight="13.9"/>
  <cols>
    <col min="1" max="1" width="4.140625" style="19" customWidth="1"/>
    <col min="2" max="2" width="6.42578125" style="19" customWidth="1"/>
    <col min="3" max="3" width="46.5703125" style="19" customWidth="1"/>
    <col min="4" max="5" width="17.5703125" style="19" customWidth="1"/>
    <col min="6" max="6" width="15.5703125" style="19" customWidth="1"/>
    <col min="7" max="8" width="18.5703125" style="19" customWidth="1"/>
    <col min="9" max="9" width="19.85546875" style="19" bestFit="1" customWidth="1"/>
    <col min="10" max="10" width="18.5703125" style="19" customWidth="1"/>
    <col min="11" max="15" width="16.42578125" style="19" customWidth="1"/>
    <col min="16" max="16384" width="9.140625" style="19"/>
  </cols>
  <sheetData>
    <row r="1" spans="2:10">
      <c r="B1" s="29"/>
    </row>
    <row r="2" spans="2:10">
      <c r="B2" s="48"/>
      <c r="C2" s="34"/>
      <c r="D2" s="34"/>
      <c r="E2" s="34"/>
      <c r="F2" s="34"/>
      <c r="G2" s="52" t="s">
        <v>0</v>
      </c>
      <c r="H2" s="34"/>
      <c r="I2" s="34"/>
      <c r="J2" s="34"/>
    </row>
    <row r="3" spans="2:10">
      <c r="B3" s="48"/>
      <c r="C3" s="48"/>
      <c r="D3" s="48"/>
      <c r="E3" s="48"/>
      <c r="F3" s="48"/>
      <c r="G3" s="55" t="s">
        <v>1</v>
      </c>
      <c r="H3" s="48"/>
      <c r="I3" s="48"/>
      <c r="J3" s="48"/>
    </row>
    <row r="4" spans="2:10">
      <c r="B4" s="48"/>
      <c r="C4" s="34"/>
      <c r="D4" s="34"/>
      <c r="E4" s="34"/>
      <c r="F4" s="34"/>
      <c r="G4" s="52" t="s">
        <v>75</v>
      </c>
      <c r="H4" s="34"/>
      <c r="I4" s="34"/>
      <c r="J4" s="34"/>
    </row>
    <row r="5" spans="2:10">
      <c r="C5" s="30"/>
      <c r="D5" s="30"/>
      <c r="E5" s="30"/>
      <c r="F5" s="30"/>
      <c r="G5" s="30"/>
      <c r="H5" s="30"/>
      <c r="I5" s="30"/>
    </row>
    <row r="6" spans="2:10">
      <c r="J6" s="21" t="s">
        <v>52</v>
      </c>
    </row>
    <row r="7" spans="2:10" s="17" customFormat="1">
      <c r="B7" s="750" t="s">
        <v>2</v>
      </c>
      <c r="C7" s="755" t="s">
        <v>53</v>
      </c>
      <c r="D7" s="755" t="s">
        <v>4</v>
      </c>
      <c r="E7" s="748" t="s">
        <v>54</v>
      </c>
      <c r="F7" s="748"/>
      <c r="G7" s="748"/>
      <c r="H7" s="748"/>
      <c r="I7" s="748"/>
      <c r="J7" s="748" t="s">
        <v>55</v>
      </c>
    </row>
    <row r="8" spans="2:10" s="17" customFormat="1">
      <c r="B8" s="751"/>
      <c r="C8" s="755"/>
      <c r="D8" s="755"/>
      <c r="E8" s="153" t="s">
        <v>56</v>
      </c>
      <c r="F8" s="153" t="s">
        <v>57</v>
      </c>
      <c r="G8" s="153" t="s">
        <v>58</v>
      </c>
      <c r="H8" s="153" t="s">
        <v>59</v>
      </c>
      <c r="I8" s="153" t="s">
        <v>60</v>
      </c>
      <c r="J8" s="748"/>
    </row>
    <row r="9" spans="2:10" s="17" customFormat="1">
      <c r="B9" s="758"/>
      <c r="C9" s="759"/>
      <c r="D9" s="759"/>
      <c r="E9" s="153" t="s">
        <v>61</v>
      </c>
      <c r="F9" s="153" t="s">
        <v>61</v>
      </c>
      <c r="G9" s="153" t="s">
        <v>61</v>
      </c>
      <c r="H9" s="153" t="s">
        <v>61</v>
      </c>
      <c r="I9" s="153" t="s">
        <v>61</v>
      </c>
      <c r="J9" s="757"/>
    </row>
    <row r="10" spans="2:10" s="34" customFormat="1">
      <c r="B10" s="46">
        <v>1</v>
      </c>
      <c r="C10" s="64" t="s">
        <v>76</v>
      </c>
      <c r="D10" s="26" t="s">
        <v>10</v>
      </c>
      <c r="E10" s="292">
        <f>'F2.1'!L16</f>
        <v>1310.5804952430417</v>
      </c>
      <c r="F10" s="292">
        <f>'F2.1'!N16</f>
        <v>1395.4427053950428</v>
      </c>
      <c r="G10" s="292">
        <f>'F2.1'!P16</f>
        <v>1460.7690944536951</v>
      </c>
      <c r="H10" s="292">
        <f>'F2.1'!R16</f>
        <v>1529.1553419132747</v>
      </c>
      <c r="I10" s="292">
        <f>'F2.1'!T16</f>
        <v>1600.7448496927643</v>
      </c>
      <c r="J10" s="293"/>
    </row>
    <row r="11" spans="2:10" s="34" customFormat="1">
      <c r="B11" s="46">
        <f>B10+1</f>
        <v>2</v>
      </c>
      <c r="C11" s="47" t="s">
        <v>11</v>
      </c>
      <c r="D11" s="26" t="s">
        <v>12</v>
      </c>
      <c r="E11" s="294">
        <f>'F2.1'!L11</f>
        <v>920.92743416019835</v>
      </c>
      <c r="F11" s="294">
        <f>'F2.1'!N11</f>
        <v>986.90370769211927</v>
      </c>
      <c r="G11" s="294">
        <f>'F2.1'!P11</f>
        <v>1032.4287079668309</v>
      </c>
      <c r="H11" s="294">
        <f>'F2.1'!R11</f>
        <v>1080.0537364751569</v>
      </c>
      <c r="I11" s="294">
        <f>'F2.1'!T11</f>
        <v>1129.8756656730091</v>
      </c>
      <c r="J11" s="47"/>
    </row>
    <row r="12" spans="2:10" s="34" customFormat="1">
      <c r="B12" s="46">
        <f t="shared" ref="B12:B14" si="0">B11+1</f>
        <v>3</v>
      </c>
      <c r="C12" s="47" t="s">
        <v>77</v>
      </c>
      <c r="D12" s="26" t="s">
        <v>14</v>
      </c>
      <c r="E12" s="294">
        <f>'F2.1'!L13</f>
        <v>13.636359579800295</v>
      </c>
      <c r="F12" s="294">
        <f>'F2.1'!N13</f>
        <v>14.265392857087507</v>
      </c>
      <c r="G12" s="294">
        <f>'F2.1'!P13</f>
        <v>14.923442886361869</v>
      </c>
      <c r="H12" s="294">
        <f>'F2.1'!R13</f>
        <v>15.611848184878808</v>
      </c>
      <c r="I12" s="294">
        <f>'F2.1'!T13</f>
        <v>16.332009014517809</v>
      </c>
      <c r="J12" s="47"/>
    </row>
    <row r="13" spans="2:10" s="34" customFormat="1">
      <c r="B13" s="46">
        <f t="shared" si="0"/>
        <v>4</v>
      </c>
      <c r="C13" s="47" t="s">
        <v>78</v>
      </c>
      <c r="D13" s="26" t="s">
        <v>16</v>
      </c>
      <c r="E13" s="294">
        <f>'F2.1'!L12</f>
        <v>376.01670150304301</v>
      </c>
      <c r="F13" s="294">
        <f>'F2.1'!N12</f>
        <v>394.27360484583596</v>
      </c>
      <c r="G13" s="294">
        <f>'F2.1'!P12</f>
        <v>413.41694360050224</v>
      </c>
      <c r="H13" s="294">
        <f>'F2.1'!R12</f>
        <v>433.48975725323879</v>
      </c>
      <c r="I13" s="294">
        <f>'F2.1'!T12</f>
        <v>454.53717500523754</v>
      </c>
      <c r="J13" s="47"/>
    </row>
    <row r="14" spans="2:10" s="48" customFormat="1" ht="30.6" customHeight="1">
      <c r="B14" s="46">
        <f t="shared" si="0"/>
        <v>5</v>
      </c>
      <c r="C14" s="49" t="s">
        <v>79</v>
      </c>
      <c r="D14" s="50"/>
      <c r="E14" s="273">
        <f>E10</f>
        <v>1310.5804952430417</v>
      </c>
      <c r="F14" s="273">
        <f t="shared" ref="F14:I14" si="1">F10</f>
        <v>1395.4427053950428</v>
      </c>
      <c r="G14" s="273">
        <f t="shared" si="1"/>
        <v>1460.7690944536951</v>
      </c>
      <c r="H14" s="273">
        <f t="shared" si="1"/>
        <v>1529.1553419132747</v>
      </c>
      <c r="I14" s="273">
        <f t="shared" si="1"/>
        <v>1600.7448496927643</v>
      </c>
      <c r="J14" s="51"/>
    </row>
    <row r="15" spans="2:10" ht="15.75" customHeight="1"/>
    <row r="17" spans="2:9">
      <c r="B17" s="761" t="s">
        <v>80</v>
      </c>
      <c r="C17" s="761"/>
      <c r="D17" s="761"/>
      <c r="E17" s="761"/>
      <c r="F17" s="156"/>
    </row>
    <row r="18" spans="2:9">
      <c r="B18" s="156"/>
      <c r="C18" s="156"/>
      <c r="D18" s="156"/>
      <c r="E18" s="156"/>
      <c r="F18" s="156"/>
    </row>
    <row r="19" spans="2:9">
      <c r="B19" s="762" t="s">
        <v>2</v>
      </c>
      <c r="C19" s="762" t="s">
        <v>53</v>
      </c>
      <c r="D19" s="764" t="s">
        <v>54</v>
      </c>
      <c r="E19" s="764"/>
      <c r="F19" s="764"/>
      <c r="G19" s="764"/>
      <c r="H19" s="764"/>
      <c r="I19" s="760" t="s">
        <v>55</v>
      </c>
    </row>
    <row r="20" spans="2:9">
      <c r="B20" s="762"/>
      <c r="C20" s="763"/>
      <c r="D20" s="157" t="s">
        <v>56</v>
      </c>
      <c r="E20" s="157" t="s">
        <v>57</v>
      </c>
      <c r="F20" s="157" t="s">
        <v>58</v>
      </c>
      <c r="G20" s="157" t="s">
        <v>59</v>
      </c>
      <c r="H20" s="157" t="s">
        <v>60</v>
      </c>
      <c r="I20" s="760"/>
    </row>
    <row r="21" spans="2:9">
      <c r="B21" s="762"/>
      <c r="C21" s="763"/>
      <c r="D21" s="157" t="s">
        <v>81</v>
      </c>
      <c r="E21" s="157" t="s">
        <v>81</v>
      </c>
      <c r="F21" s="157" t="s">
        <v>81</v>
      </c>
      <c r="G21" s="157" t="s">
        <v>81</v>
      </c>
      <c r="H21" s="157" t="s">
        <v>81</v>
      </c>
      <c r="I21" s="760"/>
    </row>
    <row r="22" spans="2:9">
      <c r="B22" s="158">
        <v>1</v>
      </c>
      <c r="C22" s="159" t="s">
        <v>82</v>
      </c>
      <c r="D22" s="159"/>
      <c r="E22" s="159"/>
      <c r="F22" s="159"/>
      <c r="G22" s="159"/>
      <c r="H22" s="159"/>
      <c r="I22" s="25"/>
    </row>
    <row r="23" spans="2:9">
      <c r="B23" s="160">
        <v>2</v>
      </c>
      <c r="C23" s="159" t="s">
        <v>83</v>
      </c>
      <c r="D23" s="159"/>
      <c r="E23" s="159"/>
      <c r="F23" s="159"/>
      <c r="G23" s="159"/>
      <c r="H23" s="159"/>
      <c r="I23" s="25"/>
    </row>
    <row r="24" spans="2:9">
      <c r="B24" s="160">
        <v>3</v>
      </c>
      <c r="C24" s="163" t="s">
        <v>84</v>
      </c>
      <c r="D24" s="159"/>
      <c r="E24" s="159"/>
      <c r="F24" s="159"/>
      <c r="G24" s="159"/>
      <c r="H24" s="159"/>
      <c r="I24" s="373"/>
    </row>
    <row r="25" spans="2:9">
      <c r="B25" s="160">
        <v>3.1</v>
      </c>
      <c r="C25" s="159" t="s">
        <v>85</v>
      </c>
      <c r="D25" s="159">
        <v>35</v>
      </c>
      <c r="E25" s="159">
        <v>35</v>
      </c>
      <c r="F25" s="159">
        <v>35</v>
      </c>
      <c r="G25" s="159">
        <v>35</v>
      </c>
      <c r="H25" s="159">
        <v>35</v>
      </c>
      <c r="I25" s="373"/>
    </row>
    <row r="26" spans="2:9">
      <c r="B26" s="160">
        <v>3.2</v>
      </c>
      <c r="C26" s="159" t="s">
        <v>86</v>
      </c>
      <c r="D26" s="159">
        <v>10.47</v>
      </c>
      <c r="E26" s="159">
        <v>10.47</v>
      </c>
      <c r="F26" s="159">
        <v>10.47</v>
      </c>
      <c r="G26" s="159">
        <v>10.47</v>
      </c>
      <c r="H26" s="159">
        <v>10.47</v>
      </c>
      <c r="I26" s="373"/>
    </row>
    <row r="27" spans="2:9">
      <c r="B27" s="160">
        <v>3.3</v>
      </c>
      <c r="C27" s="159" t="s">
        <v>87</v>
      </c>
      <c r="D27" s="159">
        <v>96.76</v>
      </c>
      <c r="E27" s="159">
        <v>96.76</v>
      </c>
      <c r="F27" s="159">
        <v>96.76</v>
      </c>
      <c r="G27" s="159">
        <v>73.16</v>
      </c>
      <c r="H27" s="159">
        <v>36.58</v>
      </c>
      <c r="I27" s="373"/>
    </row>
    <row r="28" spans="2:9">
      <c r="B28" s="160">
        <v>3.4</v>
      </c>
      <c r="C28" s="159" t="s">
        <v>88</v>
      </c>
      <c r="D28" s="159">
        <v>26</v>
      </c>
      <c r="E28" s="159">
        <v>26</v>
      </c>
      <c r="F28" s="159">
        <v>26</v>
      </c>
      <c r="G28" s="159">
        <v>26</v>
      </c>
      <c r="H28" s="159">
        <v>26</v>
      </c>
      <c r="I28" s="373"/>
    </row>
    <row r="29" spans="2:9">
      <c r="B29" s="160">
        <v>3.5</v>
      </c>
      <c r="C29" s="159" t="s">
        <v>89</v>
      </c>
      <c r="D29" s="159">
        <v>3.65</v>
      </c>
      <c r="E29" s="159">
        <v>3.65</v>
      </c>
      <c r="F29" s="159">
        <v>3.65</v>
      </c>
      <c r="G29" s="159">
        <v>3.65</v>
      </c>
      <c r="H29" s="159">
        <v>3.65</v>
      </c>
      <c r="I29" s="373"/>
    </row>
    <row r="30" spans="2:9">
      <c r="B30" s="159"/>
      <c r="C30" s="163" t="s">
        <v>90</v>
      </c>
      <c r="D30" s="159">
        <f>SUM(D22:D29)</f>
        <v>171.88000000000002</v>
      </c>
      <c r="E30" s="159">
        <f>SUM(E22:E29)</f>
        <v>171.88000000000002</v>
      </c>
      <c r="F30" s="159">
        <f>SUM(F22:F29)</f>
        <v>171.88000000000002</v>
      </c>
      <c r="G30" s="159">
        <f>SUM(G22:G29)</f>
        <v>148.28</v>
      </c>
      <c r="H30" s="159">
        <f>SUM(H22:H29)</f>
        <v>111.7</v>
      </c>
      <c r="I30" s="25"/>
    </row>
    <row r="31" spans="2:9">
      <c r="B31" s="156" t="s">
        <v>91</v>
      </c>
      <c r="C31" s="156"/>
      <c r="D31" s="156"/>
      <c r="E31" s="156"/>
      <c r="F31" s="156"/>
    </row>
  </sheetData>
  <mergeCells count="10">
    <mergeCell ref="I19:I21"/>
    <mergeCell ref="B17:E17"/>
    <mergeCell ref="B19:B21"/>
    <mergeCell ref="C19:C21"/>
    <mergeCell ref="D19:H19"/>
    <mergeCell ref="E7:I7"/>
    <mergeCell ref="J7:J9"/>
    <mergeCell ref="B7:B9"/>
    <mergeCell ref="C7:C9"/>
    <mergeCell ref="D7:D9"/>
  </mergeCells>
  <pageMargins left="1.02" right="0.25" top="1" bottom="1" header="0.25" footer="0.25"/>
  <pageSetup paperSize="9" scale="51" orientation="landscape" r:id="rId1"/>
  <headerFooter alignWithMargins="0">
    <oddHeader>&amp;F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G41"/>
  <sheetViews>
    <sheetView view="pageBreakPreview" zoomScale="60" zoomScaleNormal="28" workbookViewId="0">
      <selection activeCell="G6" sqref="G6"/>
    </sheetView>
  </sheetViews>
  <sheetFormatPr defaultColWidth="8.7109375" defaultRowHeight="13.15"/>
  <cols>
    <col min="1" max="2" width="8.7109375" style="252"/>
    <col min="3" max="3" width="13.42578125" style="252" customWidth="1"/>
    <col min="4" max="4" width="23.42578125" style="253" customWidth="1"/>
    <col min="5" max="5" width="16.42578125" style="255" customWidth="1"/>
    <col min="6" max="6" width="16.42578125" style="252" customWidth="1"/>
    <col min="7" max="7" width="39" style="253" customWidth="1"/>
    <col min="8" max="16384" width="8.7109375" style="252"/>
  </cols>
  <sheetData>
    <row r="1" spans="2:7" ht="13.9">
      <c r="E1" s="44" t="s">
        <v>0</v>
      </c>
      <c r="F1" s="52"/>
    </row>
    <row r="2" spans="2:7" ht="13.9">
      <c r="E2" s="44" t="s">
        <v>1</v>
      </c>
      <c r="F2" s="55"/>
    </row>
    <row r="3" spans="2:7" ht="13.9">
      <c r="E3" s="44" t="s">
        <v>745</v>
      </c>
      <c r="F3" s="44"/>
    </row>
    <row r="5" spans="2:7" ht="30.95" customHeight="1" thickBot="1">
      <c r="B5" s="245" t="s">
        <v>746</v>
      </c>
      <c r="C5" s="245"/>
      <c r="D5" s="245" t="s">
        <v>747</v>
      </c>
      <c r="E5" s="245" t="s">
        <v>748</v>
      </c>
      <c r="F5" s="245" t="s">
        <v>749</v>
      </c>
      <c r="G5" s="245" t="s">
        <v>750</v>
      </c>
    </row>
    <row r="6" spans="2:7" ht="44.1" customHeight="1">
      <c r="B6" s="876">
        <v>1</v>
      </c>
      <c r="C6" s="887" t="s">
        <v>751</v>
      </c>
      <c r="D6" s="880" t="s">
        <v>752</v>
      </c>
      <c r="E6" s="876">
        <v>100</v>
      </c>
      <c r="F6" s="896"/>
      <c r="G6" s="246" t="s">
        <v>753</v>
      </c>
    </row>
    <row r="7" spans="2:7" ht="42" thickBot="1">
      <c r="B7" s="877"/>
      <c r="C7" s="888"/>
      <c r="D7" s="881"/>
      <c r="E7" s="877"/>
      <c r="F7" s="897"/>
      <c r="G7" s="247" t="s">
        <v>754</v>
      </c>
    </row>
    <row r="8" spans="2:7" ht="27.6">
      <c r="B8" s="876">
        <v>2</v>
      </c>
      <c r="C8" s="888"/>
      <c r="D8" s="880" t="s">
        <v>755</v>
      </c>
      <c r="E8" s="876">
        <v>100</v>
      </c>
      <c r="F8" s="898"/>
      <c r="G8" s="246" t="s">
        <v>756</v>
      </c>
    </row>
    <row r="9" spans="2:7" ht="55.9" thickBot="1">
      <c r="B9" s="877"/>
      <c r="C9" s="888"/>
      <c r="D9" s="881"/>
      <c r="E9" s="877"/>
      <c r="F9" s="897"/>
      <c r="G9" s="247" t="s">
        <v>757</v>
      </c>
    </row>
    <row r="10" spans="2:7" ht="13.9">
      <c r="B10" s="876">
        <v>3</v>
      </c>
      <c r="C10" s="888"/>
      <c r="D10" s="880" t="s">
        <v>758</v>
      </c>
      <c r="E10" s="876">
        <v>100</v>
      </c>
      <c r="F10" s="898"/>
      <c r="G10" s="246" t="s">
        <v>759</v>
      </c>
    </row>
    <row r="11" spans="2:7" ht="69.599999999999994" thickBot="1">
      <c r="B11" s="877"/>
      <c r="C11" s="888"/>
      <c r="D11" s="881"/>
      <c r="E11" s="877"/>
      <c r="F11" s="897"/>
      <c r="G11" s="247" t="s">
        <v>760</v>
      </c>
    </row>
    <row r="12" spans="2:7" ht="41.45">
      <c r="B12" s="876">
        <v>4</v>
      </c>
      <c r="C12" s="888"/>
      <c r="D12" s="878" t="s">
        <v>761</v>
      </c>
      <c r="E12" s="876">
        <v>100</v>
      </c>
      <c r="F12" s="898"/>
      <c r="G12" s="246" t="s">
        <v>762</v>
      </c>
    </row>
    <row r="13" spans="2:7" ht="55.9" thickBot="1">
      <c r="B13" s="877"/>
      <c r="C13" s="888"/>
      <c r="D13" s="879"/>
      <c r="E13" s="877"/>
      <c r="F13" s="897"/>
      <c r="G13" s="247" t="s">
        <v>763</v>
      </c>
    </row>
    <row r="14" spans="2:7" ht="27.6">
      <c r="B14" s="876">
        <v>5</v>
      </c>
      <c r="C14" s="888"/>
      <c r="D14" s="878" t="s">
        <v>764</v>
      </c>
      <c r="E14" s="876">
        <v>100</v>
      </c>
      <c r="F14" s="898"/>
      <c r="G14" s="246" t="s">
        <v>765</v>
      </c>
    </row>
    <row r="15" spans="2:7" ht="55.9" thickBot="1">
      <c r="B15" s="877"/>
      <c r="C15" s="888"/>
      <c r="D15" s="879"/>
      <c r="E15" s="877"/>
      <c r="F15" s="897"/>
      <c r="G15" s="247" t="s">
        <v>766</v>
      </c>
    </row>
    <row r="16" spans="2:7" ht="27.6">
      <c r="B16" s="876">
        <v>6</v>
      </c>
      <c r="C16" s="888"/>
      <c r="D16" s="878" t="s">
        <v>767</v>
      </c>
      <c r="E16" s="876">
        <v>100</v>
      </c>
      <c r="F16" s="898"/>
      <c r="G16" s="246" t="s">
        <v>768</v>
      </c>
    </row>
    <row r="17" spans="2:7" ht="45" customHeight="1" thickBot="1">
      <c r="B17" s="877"/>
      <c r="C17" s="888"/>
      <c r="D17" s="879"/>
      <c r="E17" s="877"/>
      <c r="F17" s="897"/>
      <c r="G17" s="247" t="s">
        <v>769</v>
      </c>
    </row>
    <row r="18" spans="2:7" ht="27.6">
      <c r="B18" s="876" t="s">
        <v>770</v>
      </c>
      <c r="C18" s="888"/>
      <c r="D18" s="878" t="s">
        <v>771</v>
      </c>
      <c r="E18" s="876">
        <v>100</v>
      </c>
      <c r="F18" s="898"/>
      <c r="G18" s="246" t="s">
        <v>772</v>
      </c>
    </row>
    <row r="19" spans="2:7" ht="42" thickBot="1">
      <c r="B19" s="877"/>
      <c r="C19" s="888"/>
      <c r="D19" s="879"/>
      <c r="E19" s="877"/>
      <c r="F19" s="897"/>
      <c r="G19" s="247" t="s">
        <v>773</v>
      </c>
    </row>
    <row r="20" spans="2:7" ht="14.45" thickBot="1">
      <c r="B20" s="882" t="s">
        <v>774</v>
      </c>
      <c r="C20" s="883"/>
      <c r="D20" s="884"/>
      <c r="E20" s="241">
        <v>700</v>
      </c>
      <c r="F20" s="243"/>
      <c r="G20" s="248"/>
    </row>
    <row r="21" spans="2:7" ht="55.15">
      <c r="B21" s="876">
        <v>8</v>
      </c>
      <c r="C21" s="892" t="s">
        <v>775</v>
      </c>
      <c r="D21" s="880" t="s">
        <v>776</v>
      </c>
      <c r="E21" s="876">
        <v>100</v>
      </c>
      <c r="F21" s="893"/>
      <c r="G21" s="246" t="s">
        <v>777</v>
      </c>
    </row>
    <row r="22" spans="2:7" ht="27.6">
      <c r="B22" s="885"/>
      <c r="C22" s="888"/>
      <c r="D22" s="886"/>
      <c r="E22" s="885"/>
      <c r="F22" s="894"/>
      <c r="G22" s="246" t="s">
        <v>778</v>
      </c>
    </row>
    <row r="23" spans="2:7" ht="69.599999999999994" thickBot="1">
      <c r="B23" s="877"/>
      <c r="C23" s="888"/>
      <c r="D23" s="881"/>
      <c r="E23" s="877"/>
      <c r="F23" s="895"/>
      <c r="G23" s="247" t="s">
        <v>779</v>
      </c>
    </row>
    <row r="24" spans="2:7" ht="27.6">
      <c r="B24" s="876">
        <v>9</v>
      </c>
      <c r="C24" s="888"/>
      <c r="D24" s="246" t="s">
        <v>780</v>
      </c>
      <c r="E24" s="876">
        <v>100</v>
      </c>
      <c r="F24" s="893"/>
      <c r="G24" s="246" t="s">
        <v>781</v>
      </c>
    </row>
    <row r="25" spans="2:7" ht="27.6">
      <c r="B25" s="885"/>
      <c r="C25" s="888"/>
      <c r="D25" s="246" t="s">
        <v>782</v>
      </c>
      <c r="E25" s="885"/>
      <c r="F25" s="894"/>
      <c r="G25" s="246" t="s">
        <v>783</v>
      </c>
    </row>
    <row r="26" spans="2:7" ht="13.9">
      <c r="B26" s="885"/>
      <c r="C26" s="888"/>
      <c r="D26" s="246" t="s">
        <v>784</v>
      </c>
      <c r="E26" s="885"/>
      <c r="F26" s="894"/>
      <c r="G26" s="246" t="s">
        <v>785</v>
      </c>
    </row>
    <row r="27" spans="2:7" ht="28.15" thickBot="1">
      <c r="B27" s="877"/>
      <c r="C27" s="888"/>
      <c r="D27" s="247" t="s">
        <v>786</v>
      </c>
      <c r="E27" s="877"/>
      <c r="F27" s="895"/>
      <c r="G27" s="254"/>
    </row>
    <row r="28" spans="2:7" ht="14.45" thickBot="1">
      <c r="B28" s="882" t="s">
        <v>787</v>
      </c>
      <c r="C28" s="883"/>
      <c r="D28" s="884"/>
      <c r="E28" s="241">
        <v>200</v>
      </c>
      <c r="F28" s="243"/>
      <c r="G28" s="248"/>
    </row>
    <row r="29" spans="2:7" ht="20.45" customHeight="1">
      <c r="B29" s="876">
        <v>10</v>
      </c>
      <c r="C29" s="892" t="s">
        <v>788</v>
      </c>
      <c r="D29" s="880" t="s">
        <v>789</v>
      </c>
      <c r="E29" s="876">
        <v>50</v>
      </c>
      <c r="F29" s="893"/>
      <c r="G29" s="246" t="s">
        <v>790</v>
      </c>
    </row>
    <row r="30" spans="2:7" ht="13.9">
      <c r="B30" s="885"/>
      <c r="C30" s="888"/>
      <c r="D30" s="886"/>
      <c r="E30" s="885"/>
      <c r="F30" s="894"/>
      <c r="G30" s="246" t="s">
        <v>791</v>
      </c>
    </row>
    <row r="31" spans="2:7" ht="14.45" thickBot="1">
      <c r="B31" s="877"/>
      <c r="C31" s="888"/>
      <c r="D31" s="881"/>
      <c r="E31" s="877"/>
      <c r="F31" s="895"/>
      <c r="G31" s="247" t="s">
        <v>792</v>
      </c>
    </row>
    <row r="32" spans="2:7" ht="17.45" customHeight="1">
      <c r="B32" s="876">
        <v>11</v>
      </c>
      <c r="C32" s="888"/>
      <c r="D32" s="880" t="s">
        <v>793</v>
      </c>
      <c r="E32" s="876">
        <v>50</v>
      </c>
      <c r="F32" s="893"/>
      <c r="G32" s="246" t="s">
        <v>794</v>
      </c>
    </row>
    <row r="33" spans="2:7" ht="13.9">
      <c r="B33" s="885"/>
      <c r="C33" s="888"/>
      <c r="D33" s="886"/>
      <c r="E33" s="885"/>
      <c r="F33" s="894"/>
      <c r="G33" s="246" t="s">
        <v>795</v>
      </c>
    </row>
    <row r="34" spans="2:7" ht="14.45" thickBot="1">
      <c r="B34" s="877"/>
      <c r="C34" s="888"/>
      <c r="D34" s="881"/>
      <c r="E34" s="877"/>
      <c r="F34" s="895"/>
      <c r="G34" s="247" t="s">
        <v>796</v>
      </c>
    </row>
    <row r="35" spans="2:7" ht="13.9">
      <c r="B35" s="876">
        <v>12</v>
      </c>
      <c r="C35" s="888"/>
      <c r="D35" s="880" t="s">
        <v>797</v>
      </c>
      <c r="E35" s="876">
        <v>50</v>
      </c>
      <c r="F35" s="893"/>
      <c r="G35" s="246" t="s">
        <v>798</v>
      </c>
    </row>
    <row r="36" spans="2:7" ht="55.9" thickBot="1">
      <c r="B36" s="877"/>
      <c r="C36" s="888"/>
      <c r="D36" s="881"/>
      <c r="E36" s="877"/>
      <c r="F36" s="895"/>
      <c r="G36" s="247" t="s">
        <v>799</v>
      </c>
    </row>
    <row r="37" spans="2:7" ht="13.9">
      <c r="B37" s="876">
        <v>13</v>
      </c>
      <c r="C37" s="888"/>
      <c r="D37" s="880" t="s">
        <v>800</v>
      </c>
      <c r="E37" s="876">
        <v>50</v>
      </c>
      <c r="F37" s="893"/>
      <c r="G37" s="246" t="s">
        <v>801</v>
      </c>
    </row>
    <row r="38" spans="2:7" ht="27.6">
      <c r="B38" s="885"/>
      <c r="C38" s="888"/>
      <c r="D38" s="886"/>
      <c r="E38" s="885"/>
      <c r="F38" s="894"/>
      <c r="G38" s="246" t="s">
        <v>802</v>
      </c>
    </row>
    <row r="39" spans="2:7" ht="14.45" thickBot="1">
      <c r="B39" s="877"/>
      <c r="C39" s="888"/>
      <c r="D39" s="881"/>
      <c r="E39" s="877"/>
      <c r="F39" s="895"/>
      <c r="G39" s="247" t="s">
        <v>803</v>
      </c>
    </row>
    <row r="40" spans="2:7" ht="14.45" thickBot="1">
      <c r="B40" s="882" t="s">
        <v>787</v>
      </c>
      <c r="C40" s="883"/>
      <c r="D40" s="884"/>
      <c r="E40" s="241">
        <v>200</v>
      </c>
      <c r="F40" s="243"/>
      <c r="G40" s="248"/>
    </row>
    <row r="41" spans="2:7" ht="14.45" thickBot="1">
      <c r="B41" s="889" t="s">
        <v>219</v>
      </c>
      <c r="C41" s="890"/>
      <c r="D41" s="891"/>
      <c r="E41" s="242">
        <v>1100</v>
      </c>
      <c r="F41" s="244"/>
      <c r="G41" s="249"/>
    </row>
  </sheetData>
  <mergeCells count="58">
    <mergeCell ref="F6:F7"/>
    <mergeCell ref="F16:F17"/>
    <mergeCell ref="F18:F19"/>
    <mergeCell ref="F14:F15"/>
    <mergeCell ref="F12:F13"/>
    <mergeCell ref="F10:F11"/>
    <mergeCell ref="F8:F9"/>
    <mergeCell ref="F21:F23"/>
    <mergeCell ref="B37:B39"/>
    <mergeCell ref="D37:D39"/>
    <mergeCell ref="E37:E39"/>
    <mergeCell ref="B40:D40"/>
    <mergeCell ref="B24:B27"/>
    <mergeCell ref="E24:E27"/>
    <mergeCell ref="B28:D28"/>
    <mergeCell ref="C21:C27"/>
    <mergeCell ref="F37:F39"/>
    <mergeCell ref="F35:F36"/>
    <mergeCell ref="F32:F34"/>
    <mergeCell ref="F29:F31"/>
    <mergeCell ref="F24:F27"/>
    <mergeCell ref="B41:D41"/>
    <mergeCell ref="C29:C39"/>
    <mergeCell ref="B32:B34"/>
    <mergeCell ref="D32:D34"/>
    <mergeCell ref="E32:E34"/>
    <mergeCell ref="B35:B36"/>
    <mergeCell ref="D35:D36"/>
    <mergeCell ref="E35:E36"/>
    <mergeCell ref="B29:B31"/>
    <mergeCell ref="D29:D31"/>
    <mergeCell ref="E29:E31"/>
    <mergeCell ref="B18:B19"/>
    <mergeCell ref="D18:D19"/>
    <mergeCell ref="E18:E19"/>
    <mergeCell ref="B20:D20"/>
    <mergeCell ref="B21:B23"/>
    <mergeCell ref="D21:D23"/>
    <mergeCell ref="E21:E23"/>
    <mergeCell ref="C6:C19"/>
    <mergeCell ref="B14:B15"/>
    <mergeCell ref="D14:D15"/>
    <mergeCell ref="E14:E15"/>
    <mergeCell ref="B16:B17"/>
    <mergeCell ref="D16:D17"/>
    <mergeCell ref="E16:E17"/>
    <mergeCell ref="B10:B11"/>
    <mergeCell ref="D10:D11"/>
    <mergeCell ref="E10:E11"/>
    <mergeCell ref="B12:B13"/>
    <mergeCell ref="D12:D13"/>
    <mergeCell ref="E12:E13"/>
    <mergeCell ref="B6:B7"/>
    <mergeCell ref="D6:D7"/>
    <mergeCell ref="E6:E7"/>
    <mergeCell ref="B8:B9"/>
    <mergeCell ref="D8:D9"/>
    <mergeCell ref="E8:E9"/>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45"/>
  <sheetViews>
    <sheetView topLeftCell="A21" zoomScale="70" workbookViewId="0">
      <selection activeCell="I45" sqref="I45"/>
    </sheetView>
  </sheetViews>
  <sheetFormatPr defaultColWidth="8.7109375" defaultRowHeight="13.15"/>
  <cols>
    <col min="1" max="1" width="8.7109375" style="252"/>
    <col min="2" max="2" width="12.5703125" style="252" customWidth="1"/>
    <col min="3" max="3" width="29.140625" style="252" customWidth="1"/>
    <col min="4" max="8" width="12.5703125" style="252" customWidth="1"/>
    <col min="9" max="9" width="85.140625" style="252" customWidth="1"/>
    <col min="10" max="16384" width="8.7109375" style="252"/>
  </cols>
  <sheetData>
    <row r="1" spans="1:9" ht="13.9">
      <c r="F1" s="44" t="s">
        <v>0</v>
      </c>
    </row>
    <row r="2" spans="1:9" ht="13.9">
      <c r="F2" s="44" t="s">
        <v>1</v>
      </c>
    </row>
    <row r="3" spans="1:9" ht="13.9">
      <c r="F3" s="44" t="s">
        <v>804</v>
      </c>
    </row>
    <row r="5" spans="1:9">
      <c r="A5" s="256" t="s">
        <v>805</v>
      </c>
    </row>
    <row r="6" spans="1:9" ht="13.9">
      <c r="B6" s="153" t="s">
        <v>2</v>
      </c>
      <c r="C6" s="153" t="s">
        <v>53</v>
      </c>
      <c r="D6" s="154" t="s">
        <v>56</v>
      </c>
      <c r="E6" s="153" t="s">
        <v>57</v>
      </c>
      <c r="F6" s="153" t="s">
        <v>58</v>
      </c>
      <c r="G6" s="153" t="s">
        <v>59</v>
      </c>
      <c r="H6" s="153" t="s">
        <v>60</v>
      </c>
      <c r="I6" s="153" t="s">
        <v>806</v>
      </c>
    </row>
    <row r="7" spans="1:9" ht="27.6">
      <c r="B7" s="172">
        <v>1</v>
      </c>
      <c r="C7" s="251" t="s">
        <v>807</v>
      </c>
      <c r="D7" s="312">
        <v>68</v>
      </c>
      <c r="E7" s="312">
        <v>47</v>
      </c>
      <c r="F7" s="312">
        <v>22</v>
      </c>
      <c r="G7" s="312">
        <v>20</v>
      </c>
      <c r="H7" s="312">
        <v>19</v>
      </c>
      <c r="I7" s="623" t="s">
        <v>808</v>
      </c>
    </row>
    <row r="9" spans="1:9">
      <c r="A9" s="256" t="s">
        <v>809</v>
      </c>
    </row>
    <row r="11" spans="1:9" ht="13.9">
      <c r="B11" s="153" t="s">
        <v>2</v>
      </c>
      <c r="C11" s="153" t="s">
        <v>53</v>
      </c>
      <c r="D11" s="154" t="s">
        <v>56</v>
      </c>
      <c r="E11" s="153" t="s">
        <v>57</v>
      </c>
      <c r="F11" s="153" t="s">
        <v>58</v>
      </c>
      <c r="G11" s="153" t="s">
        <v>59</v>
      </c>
      <c r="H11" s="153" t="s">
        <v>60</v>
      </c>
      <c r="I11" s="153" t="s">
        <v>806</v>
      </c>
    </row>
    <row r="12" spans="1:9" ht="56.1" customHeight="1">
      <c r="B12" s="172">
        <v>1</v>
      </c>
      <c r="C12" s="251" t="s">
        <v>756</v>
      </c>
      <c r="D12" s="371">
        <v>493.76848413718108</v>
      </c>
      <c r="E12" s="371">
        <v>543.14533255089918</v>
      </c>
      <c r="F12" s="372">
        <v>597.45986580598924</v>
      </c>
      <c r="G12" s="372">
        <v>657.20585238658816</v>
      </c>
      <c r="H12" s="371">
        <v>722.92643762524699</v>
      </c>
      <c r="I12" s="899" t="s">
        <v>810</v>
      </c>
    </row>
    <row r="13" spans="1:9" ht="58.5" customHeight="1">
      <c r="B13" s="257">
        <v>2</v>
      </c>
      <c r="C13" s="258" t="s">
        <v>811</v>
      </c>
      <c r="D13" s="257">
        <v>11</v>
      </c>
      <c r="E13" s="257">
        <v>12</v>
      </c>
      <c r="F13" s="257">
        <v>14</v>
      </c>
      <c r="G13" s="257">
        <v>15</v>
      </c>
      <c r="H13" s="257">
        <v>17</v>
      </c>
      <c r="I13" s="900"/>
    </row>
    <row r="16" spans="1:9">
      <c r="A16" s="256" t="s">
        <v>812</v>
      </c>
    </row>
    <row r="18" spans="1:9" ht="13.9">
      <c r="B18" s="240" t="s">
        <v>2</v>
      </c>
      <c r="C18" s="240" t="s">
        <v>53</v>
      </c>
      <c r="D18" s="264" t="s">
        <v>56</v>
      </c>
      <c r="E18" s="240" t="s">
        <v>57</v>
      </c>
      <c r="F18" s="240" t="s">
        <v>58</v>
      </c>
      <c r="G18" s="240" t="s">
        <v>59</v>
      </c>
      <c r="H18" s="240" t="s">
        <v>60</v>
      </c>
      <c r="I18" s="153" t="s">
        <v>806</v>
      </c>
    </row>
    <row r="19" spans="1:9" ht="27.6">
      <c r="B19" s="265">
        <v>1</v>
      </c>
      <c r="C19" s="266" t="s">
        <v>813</v>
      </c>
      <c r="D19" s="312">
        <v>68</v>
      </c>
      <c r="E19" s="312">
        <v>47</v>
      </c>
      <c r="F19" s="312">
        <v>22</v>
      </c>
      <c r="G19" s="312">
        <v>20</v>
      </c>
      <c r="H19" s="312">
        <v>19</v>
      </c>
      <c r="I19" s="258" t="s">
        <v>808</v>
      </c>
    </row>
    <row r="20" spans="1:9" ht="27.6">
      <c r="B20" s="265">
        <v>2</v>
      </c>
      <c r="C20" s="266" t="s">
        <v>814</v>
      </c>
      <c r="D20" s="265">
        <f>D19*2</f>
        <v>136</v>
      </c>
      <c r="E20" s="265">
        <f t="shared" ref="E20:H20" si="0">E19*2</f>
        <v>94</v>
      </c>
      <c r="F20" s="265">
        <f t="shared" si="0"/>
        <v>44</v>
      </c>
      <c r="G20" s="265">
        <f t="shared" si="0"/>
        <v>40</v>
      </c>
      <c r="H20" s="265">
        <f t="shared" si="0"/>
        <v>38</v>
      </c>
      <c r="I20" s="258" t="s">
        <v>815</v>
      </c>
    </row>
    <row r="23" spans="1:9">
      <c r="A23" s="256" t="s">
        <v>816</v>
      </c>
    </row>
    <row r="25" spans="1:9" ht="13.9">
      <c r="B25" s="153" t="s">
        <v>2</v>
      </c>
      <c r="C25" s="153" t="s">
        <v>53</v>
      </c>
      <c r="D25" s="154" t="s">
        <v>56</v>
      </c>
      <c r="E25" s="153" t="s">
        <v>57</v>
      </c>
      <c r="F25" s="153" t="s">
        <v>58</v>
      </c>
      <c r="G25" s="153" t="s">
        <v>59</v>
      </c>
      <c r="H25" s="153" t="s">
        <v>60</v>
      </c>
      <c r="I25" s="153" t="s">
        <v>806</v>
      </c>
    </row>
    <row r="26" spans="1:9" ht="26.45">
      <c r="B26" s="257">
        <v>1</v>
      </c>
      <c r="C26" s="260" t="s">
        <v>817</v>
      </c>
      <c r="D26" s="257">
        <v>1</v>
      </c>
      <c r="E26" s="257">
        <v>7</v>
      </c>
      <c r="F26" s="257">
        <v>4</v>
      </c>
      <c r="G26" s="257">
        <v>8</v>
      </c>
      <c r="H26" s="257">
        <v>13</v>
      </c>
      <c r="I26" s="151" t="s">
        <v>818</v>
      </c>
    </row>
    <row r="27" spans="1:9" ht="27.6">
      <c r="B27" s="257">
        <v>2</v>
      </c>
      <c r="C27" s="260" t="s">
        <v>819</v>
      </c>
      <c r="D27" s="257">
        <f>D26*2</f>
        <v>2</v>
      </c>
      <c r="E27" s="257">
        <f t="shared" ref="E27:H27" si="1">E26*2</f>
        <v>14</v>
      </c>
      <c r="F27" s="257">
        <f t="shared" si="1"/>
        <v>8</v>
      </c>
      <c r="G27" s="257">
        <f t="shared" si="1"/>
        <v>16</v>
      </c>
      <c r="H27" s="257">
        <f t="shared" si="1"/>
        <v>26</v>
      </c>
      <c r="I27" s="151" t="s">
        <v>815</v>
      </c>
    </row>
    <row r="30" spans="1:9">
      <c r="A30" s="256" t="s">
        <v>820</v>
      </c>
    </row>
    <row r="32" spans="1:9" ht="13.9">
      <c r="B32" s="153" t="s">
        <v>2</v>
      </c>
      <c r="C32" s="153" t="s">
        <v>53</v>
      </c>
      <c r="D32" s="154" t="s">
        <v>56</v>
      </c>
      <c r="E32" s="153" t="s">
        <v>57</v>
      </c>
      <c r="F32" s="153" t="s">
        <v>58</v>
      </c>
      <c r="G32" s="153" t="s">
        <v>59</v>
      </c>
      <c r="H32" s="153" t="s">
        <v>60</v>
      </c>
      <c r="I32" s="153" t="s">
        <v>806</v>
      </c>
    </row>
    <row r="33" spans="1:9" ht="55.9" customHeight="1">
      <c r="B33" s="257">
        <v>1</v>
      </c>
      <c r="C33" s="619" t="s">
        <v>765</v>
      </c>
      <c r="D33" s="257">
        <v>12</v>
      </c>
      <c r="E33" s="257">
        <v>12</v>
      </c>
      <c r="F33" s="257">
        <v>12</v>
      </c>
      <c r="G33" s="257">
        <v>12</v>
      </c>
      <c r="H33" s="257">
        <v>12</v>
      </c>
      <c r="I33" s="901" t="s">
        <v>821</v>
      </c>
    </row>
    <row r="34" spans="1:9" ht="61.9" customHeight="1">
      <c r="B34" s="257">
        <v>2</v>
      </c>
      <c r="C34" s="619" t="s">
        <v>822</v>
      </c>
      <c r="D34" s="257">
        <v>3</v>
      </c>
      <c r="E34" s="257">
        <v>7</v>
      </c>
      <c r="F34" s="257">
        <v>4</v>
      </c>
      <c r="G34" s="257">
        <v>8</v>
      </c>
      <c r="H34" s="257">
        <v>13</v>
      </c>
      <c r="I34" s="902"/>
    </row>
    <row r="36" spans="1:9">
      <c r="A36" s="256" t="s">
        <v>823</v>
      </c>
    </row>
    <row r="38" spans="1:9" ht="13.9">
      <c r="B38" s="153" t="s">
        <v>2</v>
      </c>
      <c r="C38" s="153" t="s">
        <v>53</v>
      </c>
      <c r="D38" s="154" t="s">
        <v>56</v>
      </c>
      <c r="E38" s="153" t="s">
        <v>57</v>
      </c>
      <c r="F38" s="153" t="s">
        <v>58</v>
      </c>
      <c r="G38" s="153" t="s">
        <v>59</v>
      </c>
      <c r="H38" s="153" t="s">
        <v>60</v>
      </c>
      <c r="I38" s="153" t="s">
        <v>806</v>
      </c>
    </row>
    <row r="39" spans="1:9" ht="39.6">
      <c r="B39" s="257">
        <v>1</v>
      </c>
      <c r="C39" s="261" t="s">
        <v>824</v>
      </c>
      <c r="D39" s="257">
        <v>4</v>
      </c>
      <c r="E39" s="257">
        <v>4</v>
      </c>
      <c r="F39" s="257">
        <v>4</v>
      </c>
      <c r="G39" s="257">
        <v>4</v>
      </c>
      <c r="H39" s="257">
        <v>4</v>
      </c>
      <c r="I39" s="260" t="s">
        <v>825</v>
      </c>
    </row>
    <row r="40" spans="1:9" ht="66">
      <c r="B40" s="257">
        <v>2</v>
      </c>
      <c r="C40" s="260" t="s">
        <v>826</v>
      </c>
      <c r="D40" s="257">
        <v>60</v>
      </c>
      <c r="E40" s="257">
        <v>60</v>
      </c>
      <c r="F40" s="257">
        <v>60</v>
      </c>
      <c r="G40" s="257">
        <v>60</v>
      </c>
      <c r="H40" s="257">
        <v>60</v>
      </c>
      <c r="I40" s="260" t="s">
        <v>827</v>
      </c>
    </row>
    <row r="42" spans="1:9">
      <c r="A42" s="256" t="s">
        <v>828</v>
      </c>
    </row>
    <row r="44" spans="1:9" ht="13.9">
      <c r="B44" s="153" t="s">
        <v>2</v>
      </c>
      <c r="C44" s="153" t="s">
        <v>53</v>
      </c>
      <c r="D44" s="154" t="s">
        <v>56</v>
      </c>
      <c r="E44" s="153" t="s">
        <v>57</v>
      </c>
      <c r="F44" s="153" t="s">
        <v>58</v>
      </c>
      <c r="G44" s="153" t="s">
        <v>59</v>
      </c>
      <c r="H44" s="153" t="s">
        <v>60</v>
      </c>
      <c r="I44" s="153" t="s">
        <v>806</v>
      </c>
    </row>
    <row r="45" spans="1:9" ht="52.9">
      <c r="B45" s="257">
        <v>1</v>
      </c>
      <c r="C45" s="261" t="s">
        <v>829</v>
      </c>
      <c r="D45" s="370" t="s">
        <v>830</v>
      </c>
      <c r="E45" s="370" t="s">
        <v>831</v>
      </c>
      <c r="F45" s="370" t="s">
        <v>832</v>
      </c>
      <c r="G45" s="370" t="s">
        <v>833</v>
      </c>
      <c r="H45" s="370" t="s">
        <v>834</v>
      </c>
      <c r="I45" s="624" t="s">
        <v>835</v>
      </c>
    </row>
  </sheetData>
  <mergeCells count="2">
    <mergeCell ref="I12:I13"/>
    <mergeCell ref="I33:I34"/>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15"/>
  <sheetViews>
    <sheetView topLeftCell="G1" zoomScale="69" workbookViewId="0">
      <selection activeCell="I13" sqref="I13:I15"/>
    </sheetView>
  </sheetViews>
  <sheetFormatPr defaultRowHeight="13.15"/>
  <cols>
    <col min="3" max="3" width="24.5703125" customWidth="1"/>
    <col min="4" max="8" width="12.5703125" customWidth="1"/>
    <col min="9" max="9" width="43.7109375" customWidth="1"/>
    <col min="17" max="17" width="104.7109375" customWidth="1"/>
  </cols>
  <sheetData>
    <row r="1" spans="1:17" ht="13.9">
      <c r="E1" s="44" t="s">
        <v>0</v>
      </c>
    </row>
    <row r="2" spans="1:17" ht="13.9">
      <c r="E2" s="44" t="s">
        <v>1</v>
      </c>
    </row>
    <row r="3" spans="1:17" ht="13.9">
      <c r="E3" s="44" t="s">
        <v>836</v>
      </c>
    </row>
    <row r="5" spans="1:17">
      <c r="A5" s="250" t="s">
        <v>837</v>
      </c>
    </row>
    <row r="6" spans="1:17" s="252" customFormat="1">
      <c r="C6" s="256"/>
    </row>
    <row r="7" spans="1:17" s="1" customFormat="1" ht="13.9">
      <c r="B7" s="149" t="s">
        <v>2</v>
      </c>
      <c r="C7" s="149" t="s">
        <v>53</v>
      </c>
      <c r="D7" s="263" t="s">
        <v>577</v>
      </c>
      <c r="E7" s="263" t="s">
        <v>578</v>
      </c>
      <c r="F7" s="263" t="s">
        <v>579</v>
      </c>
      <c r="G7" s="263" t="s">
        <v>580</v>
      </c>
      <c r="H7" s="263" t="s">
        <v>581</v>
      </c>
      <c r="I7" s="263" t="s">
        <v>582</v>
      </c>
      <c r="J7" s="263" t="s">
        <v>583</v>
      </c>
      <c r="K7" s="263" t="s">
        <v>584</v>
      </c>
      <c r="L7" s="263" t="s">
        <v>585</v>
      </c>
      <c r="M7" s="263" t="s">
        <v>586</v>
      </c>
      <c r="N7" s="263" t="s">
        <v>587</v>
      </c>
      <c r="O7" s="263" t="s">
        <v>588</v>
      </c>
      <c r="P7" s="263" t="s">
        <v>219</v>
      </c>
      <c r="Q7" s="153" t="s">
        <v>806</v>
      </c>
    </row>
    <row r="8" spans="1:17" ht="79.150000000000006">
      <c r="B8" s="621"/>
      <c r="C8" s="621" t="s">
        <v>56</v>
      </c>
      <c r="D8" s="257">
        <v>19</v>
      </c>
      <c r="E8" s="257">
        <v>19</v>
      </c>
      <c r="F8" s="257">
        <v>19</v>
      </c>
      <c r="G8" s="257">
        <v>19</v>
      </c>
      <c r="H8" s="257">
        <v>19</v>
      </c>
      <c r="I8" s="257">
        <v>19</v>
      </c>
      <c r="J8" s="257">
        <v>19</v>
      </c>
      <c r="K8" s="257">
        <v>19</v>
      </c>
      <c r="L8" s="257">
        <v>19</v>
      </c>
      <c r="M8" s="257">
        <v>19</v>
      </c>
      <c r="N8" s="257">
        <v>19</v>
      </c>
      <c r="O8" s="257">
        <v>19</v>
      </c>
      <c r="P8" s="257">
        <f>SUM(D8:O8)</f>
        <v>228</v>
      </c>
      <c r="Q8" s="620" t="s">
        <v>838</v>
      </c>
    </row>
    <row r="11" spans="1:17" s="252" customFormat="1">
      <c r="A11" s="256" t="s">
        <v>839</v>
      </c>
    </row>
    <row r="12" spans="1:17" s="252" customFormat="1" ht="13.9">
      <c r="B12" s="153" t="s">
        <v>2</v>
      </c>
      <c r="C12" s="153" t="s">
        <v>53</v>
      </c>
      <c r="D12" s="154" t="s">
        <v>56</v>
      </c>
      <c r="E12" s="153" t="s">
        <v>57</v>
      </c>
      <c r="F12" s="153" t="s">
        <v>58</v>
      </c>
      <c r="G12" s="153" t="s">
        <v>59</v>
      </c>
      <c r="H12" s="153" t="s">
        <v>60</v>
      </c>
      <c r="I12" s="153" t="s">
        <v>806</v>
      </c>
    </row>
    <row r="13" spans="1:17" s="252" customFormat="1" ht="29.65" customHeight="1">
      <c r="B13" s="622">
        <v>1</v>
      </c>
      <c r="C13" s="420" t="s">
        <v>840</v>
      </c>
      <c r="D13" s="257">
        <v>2</v>
      </c>
      <c r="E13" s="257">
        <v>2</v>
      </c>
      <c r="F13" s="257">
        <v>2</v>
      </c>
      <c r="G13" s="257">
        <v>2</v>
      </c>
      <c r="H13" s="257">
        <v>2</v>
      </c>
      <c r="I13" s="901" t="s">
        <v>841</v>
      </c>
    </row>
    <row r="14" spans="1:17" s="252" customFormat="1" ht="34.5" customHeight="1">
      <c r="B14" s="622">
        <v>2</v>
      </c>
      <c r="C14" s="420" t="s">
        <v>842</v>
      </c>
      <c r="D14" s="257">
        <v>2</v>
      </c>
      <c r="E14" s="257">
        <v>2</v>
      </c>
      <c r="F14" s="257">
        <v>2</v>
      </c>
      <c r="G14" s="257">
        <v>2</v>
      </c>
      <c r="H14" s="257">
        <v>2</v>
      </c>
      <c r="I14" s="903"/>
    </row>
    <row r="15" spans="1:17" s="252" customFormat="1" ht="37.5" customHeight="1">
      <c r="B15" s="622">
        <v>3</v>
      </c>
      <c r="C15" s="622" t="s">
        <v>843</v>
      </c>
      <c r="D15" s="257">
        <v>0</v>
      </c>
      <c r="E15" s="257">
        <v>0</v>
      </c>
      <c r="F15" s="257">
        <v>0</v>
      </c>
      <c r="G15" s="257">
        <v>0</v>
      </c>
      <c r="H15" s="257">
        <v>0</v>
      </c>
      <c r="I15" s="902"/>
    </row>
  </sheetData>
  <mergeCells count="1">
    <mergeCell ref="I13:I1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24"/>
  <sheetViews>
    <sheetView zoomScale="47" workbookViewId="0">
      <selection activeCell="N33" sqref="N33"/>
    </sheetView>
  </sheetViews>
  <sheetFormatPr defaultRowHeight="13.15"/>
  <cols>
    <col min="3" max="3" width="21.5703125" customWidth="1"/>
    <col min="4" max="8" width="12.5703125" customWidth="1"/>
    <col min="9" max="9" width="66.140625" customWidth="1"/>
  </cols>
  <sheetData>
    <row r="1" spans="1:12" ht="13.9">
      <c r="E1" s="44" t="s">
        <v>0</v>
      </c>
    </row>
    <row r="2" spans="1:12" ht="13.9">
      <c r="E2" s="44" t="s">
        <v>1</v>
      </c>
    </row>
    <row r="3" spans="1:12" ht="13.9">
      <c r="E3" s="44" t="s">
        <v>844</v>
      </c>
    </row>
    <row r="6" spans="1:12" s="252" customFormat="1">
      <c r="A6" s="256" t="s">
        <v>845</v>
      </c>
      <c r="L6"/>
    </row>
    <row r="7" spans="1:12" s="252" customFormat="1" ht="13.9">
      <c r="B7" s="153" t="s">
        <v>2</v>
      </c>
      <c r="C7" s="153" t="s">
        <v>53</v>
      </c>
      <c r="D7" s="154" t="s">
        <v>56</v>
      </c>
      <c r="E7" s="153" t="s">
        <v>57</v>
      </c>
      <c r="F7" s="153" t="s">
        <v>58</v>
      </c>
      <c r="G7" s="153" t="s">
        <v>59</v>
      </c>
      <c r="H7" s="153" t="s">
        <v>60</v>
      </c>
      <c r="I7" s="153" t="s">
        <v>806</v>
      </c>
    </row>
    <row r="8" spans="1:12" s="252" customFormat="1" ht="132.4" customHeight="1">
      <c r="B8" s="257">
        <v>1</v>
      </c>
      <c r="C8" s="261" t="s">
        <v>846</v>
      </c>
      <c r="D8" s="257">
        <v>1</v>
      </c>
      <c r="E8" s="257">
        <v>1</v>
      </c>
      <c r="F8" s="257">
        <v>1</v>
      </c>
      <c r="G8" s="257">
        <v>1</v>
      </c>
      <c r="H8" s="257">
        <v>0</v>
      </c>
      <c r="I8" s="261" t="s">
        <v>847</v>
      </c>
    </row>
    <row r="9" spans="1:12" s="252" customFormat="1"/>
    <row r="10" spans="1:12" s="252" customFormat="1"/>
    <row r="11" spans="1:12" s="252" customFormat="1">
      <c r="A11" s="256" t="s">
        <v>848</v>
      </c>
    </row>
    <row r="12" spans="1:12" s="252" customFormat="1" ht="13.9">
      <c r="B12" s="153" t="s">
        <v>2</v>
      </c>
      <c r="C12" s="153" t="s">
        <v>53</v>
      </c>
      <c r="D12" s="154" t="s">
        <v>56</v>
      </c>
      <c r="E12" s="153" t="s">
        <v>57</v>
      </c>
      <c r="F12" s="153" t="s">
        <v>58</v>
      </c>
      <c r="G12" s="153" t="s">
        <v>59</v>
      </c>
      <c r="H12" s="153" t="s">
        <v>60</v>
      </c>
      <c r="I12" s="153" t="s">
        <v>806</v>
      </c>
    </row>
    <row r="13" spans="1:12" s="252" customFormat="1" ht="237.6">
      <c r="B13" s="257">
        <v>1</v>
      </c>
      <c r="C13" s="261" t="s">
        <v>849</v>
      </c>
      <c r="D13" s="257">
        <v>166</v>
      </c>
      <c r="E13" s="257">
        <v>168</v>
      </c>
      <c r="F13" s="257">
        <v>169</v>
      </c>
      <c r="G13" s="257">
        <v>171</v>
      </c>
      <c r="H13" s="257">
        <v>173</v>
      </c>
      <c r="I13" s="619" t="s">
        <v>850</v>
      </c>
    </row>
    <row r="14" spans="1:12" s="252" customFormat="1">
      <c r="B14" s="369"/>
      <c r="C14" s="368"/>
      <c r="D14" s="253"/>
      <c r="E14" s="253"/>
      <c r="F14" s="253"/>
      <c r="G14" s="253"/>
      <c r="H14" s="253"/>
    </row>
    <row r="15" spans="1:12" s="252" customFormat="1">
      <c r="B15" s="253"/>
      <c r="C15" s="368"/>
      <c r="D15" s="253"/>
      <c r="E15" s="253"/>
      <c r="F15" s="253"/>
      <c r="G15" s="253"/>
      <c r="H15" s="253"/>
    </row>
    <row r="16" spans="1:12" s="252" customFormat="1"/>
    <row r="17" spans="1:9" s="252" customFormat="1">
      <c r="A17" s="256" t="s">
        <v>851</v>
      </c>
    </row>
    <row r="18" spans="1:9" s="252" customFormat="1" ht="13.9">
      <c r="B18" s="153" t="s">
        <v>2</v>
      </c>
      <c r="C18" s="153" t="s">
        <v>53</v>
      </c>
      <c r="D18" s="154" t="s">
        <v>56</v>
      </c>
      <c r="E18" s="153" t="s">
        <v>57</v>
      </c>
      <c r="F18" s="153" t="s">
        <v>58</v>
      </c>
      <c r="G18" s="153" t="s">
        <v>59</v>
      </c>
      <c r="H18" s="153" t="s">
        <v>60</v>
      </c>
      <c r="I18" s="153" t="s">
        <v>806</v>
      </c>
    </row>
    <row r="19" spans="1:9" s="252" customFormat="1" ht="68.099999999999994" customHeight="1">
      <c r="B19" s="262">
        <v>1</v>
      </c>
      <c r="C19" s="260" t="s">
        <v>852</v>
      </c>
      <c r="D19" s="367">
        <v>0.7</v>
      </c>
      <c r="E19" s="367">
        <v>0.7</v>
      </c>
      <c r="F19" s="367">
        <v>0.7</v>
      </c>
      <c r="G19" s="367">
        <v>0.7</v>
      </c>
      <c r="H19" s="367">
        <v>0.7</v>
      </c>
      <c r="I19" s="618" t="s">
        <v>853</v>
      </c>
    </row>
    <row r="21" spans="1:9">
      <c r="A21" s="250" t="s">
        <v>854</v>
      </c>
    </row>
    <row r="22" spans="1:9" ht="13.9">
      <c r="B22" s="153" t="s">
        <v>2</v>
      </c>
      <c r="C22" s="153" t="s">
        <v>53</v>
      </c>
      <c r="D22" s="154" t="s">
        <v>56</v>
      </c>
      <c r="E22" s="153" t="s">
        <v>57</v>
      </c>
      <c r="F22" s="153" t="s">
        <v>58</v>
      </c>
      <c r="G22" s="153" t="s">
        <v>59</v>
      </c>
      <c r="H22" s="153" t="s">
        <v>60</v>
      </c>
      <c r="I22" s="153" t="s">
        <v>806</v>
      </c>
    </row>
    <row r="23" spans="1:9">
      <c r="B23" s="262">
        <v>1</v>
      </c>
      <c r="C23" s="260" t="s">
        <v>855</v>
      </c>
      <c r="D23" s="262">
        <v>0</v>
      </c>
      <c r="E23" s="262">
        <v>0</v>
      </c>
      <c r="F23" s="262">
        <v>0</v>
      </c>
      <c r="G23" s="262">
        <v>0</v>
      </c>
      <c r="H23" s="262">
        <v>0</v>
      </c>
      <c r="I23" s="904" t="s">
        <v>856</v>
      </c>
    </row>
    <row r="24" spans="1:9" ht="39.6">
      <c r="B24" s="262">
        <v>2</v>
      </c>
      <c r="C24" s="260" t="s">
        <v>857</v>
      </c>
      <c r="D24" s="257">
        <v>0</v>
      </c>
      <c r="E24" s="257">
        <v>0</v>
      </c>
      <c r="F24" s="257">
        <v>0</v>
      </c>
      <c r="G24" s="257">
        <v>0</v>
      </c>
      <c r="H24" s="257">
        <v>0</v>
      </c>
      <c r="I24" s="905"/>
    </row>
  </sheetData>
  <mergeCells count="1">
    <mergeCell ref="I23:I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41"/>
  <sheetViews>
    <sheetView showGridLines="0" view="pageBreakPreview" topLeftCell="K8" zoomScale="117" zoomScaleNormal="47" zoomScaleSheetLayoutView="90" workbookViewId="0">
      <selection activeCell="I11" sqref="I11:J16"/>
    </sheetView>
  </sheetViews>
  <sheetFormatPr defaultColWidth="9.140625" defaultRowHeight="13.9"/>
  <cols>
    <col min="1" max="1" width="9.140625" style="19"/>
    <col min="2" max="2" width="7.42578125" style="19" customWidth="1"/>
    <col min="3" max="3" width="31.42578125" style="19" customWidth="1"/>
    <col min="4" max="6" width="13.42578125" style="19" hidden="1" customWidth="1"/>
    <col min="7" max="10" width="14.5703125" style="19" hidden="1" customWidth="1"/>
    <col min="11" max="20" width="15" style="19" customWidth="1"/>
    <col min="21" max="16384" width="9.140625" style="19"/>
  </cols>
  <sheetData>
    <row r="1" spans="2:20">
      <c r="B1" s="22"/>
      <c r="C1" s="22"/>
      <c r="D1" s="22"/>
      <c r="E1" s="22"/>
      <c r="F1" s="22"/>
      <c r="G1" s="22"/>
      <c r="H1" s="22"/>
      <c r="I1" s="22"/>
      <c r="J1" s="22"/>
      <c r="K1" s="22"/>
      <c r="L1" s="22"/>
      <c r="M1" s="22"/>
    </row>
    <row r="2" spans="2:20">
      <c r="B2" s="48"/>
      <c r="C2" s="48"/>
      <c r="D2" s="48"/>
      <c r="E2" s="48"/>
      <c r="F2" s="48"/>
      <c r="G2" s="48"/>
      <c r="I2" s="48"/>
      <c r="J2" s="52" t="s">
        <v>0</v>
      </c>
      <c r="K2" s="48"/>
      <c r="L2" s="48"/>
      <c r="M2" s="48"/>
    </row>
    <row r="3" spans="2:20">
      <c r="B3" s="48"/>
      <c r="C3" s="48"/>
      <c r="D3" s="48"/>
      <c r="E3" s="48"/>
      <c r="F3" s="48"/>
      <c r="G3" s="48"/>
      <c r="I3" s="48"/>
      <c r="J3" s="55" t="s">
        <v>1</v>
      </c>
      <c r="K3" s="48"/>
      <c r="L3" s="48"/>
      <c r="M3" s="48"/>
    </row>
    <row r="4" spans="2:20">
      <c r="B4" s="45"/>
      <c r="C4" s="45"/>
      <c r="D4" s="45"/>
      <c r="E4" s="45"/>
      <c r="F4" s="45"/>
      <c r="G4" s="45"/>
      <c r="I4" s="45"/>
      <c r="J4" s="52" t="s">
        <v>92</v>
      </c>
      <c r="K4" s="45"/>
      <c r="L4" s="45"/>
      <c r="M4" s="45"/>
    </row>
    <row r="5" spans="2:20">
      <c r="B5" s="45"/>
      <c r="C5" s="45"/>
      <c r="D5" s="45"/>
      <c r="E5" s="45"/>
      <c r="F5" s="45"/>
      <c r="G5" s="45"/>
      <c r="H5" s="45"/>
      <c r="I5" s="45"/>
      <c r="J5" s="45"/>
      <c r="K5" s="45"/>
      <c r="L5" s="45"/>
      <c r="M5" s="45"/>
    </row>
    <row r="6" spans="2:20">
      <c r="B6" s="28"/>
      <c r="C6" s="28"/>
      <c r="D6" s="28"/>
      <c r="E6" s="28"/>
      <c r="F6" s="28"/>
      <c r="G6" s="28"/>
      <c r="H6" s="28"/>
      <c r="I6" s="28"/>
      <c r="J6" s="28"/>
      <c r="K6" s="28"/>
      <c r="L6" s="28"/>
      <c r="M6" s="28"/>
    </row>
    <row r="7" spans="2:20">
      <c r="T7" s="21" t="s">
        <v>52</v>
      </c>
    </row>
    <row r="8" spans="2:20" s="34" customFormat="1" ht="28.9" customHeight="1">
      <c r="B8" s="765" t="s">
        <v>2</v>
      </c>
      <c r="C8" s="765" t="s">
        <v>53</v>
      </c>
      <c r="D8" s="760" t="s">
        <v>93</v>
      </c>
      <c r="E8" s="760"/>
      <c r="F8" s="760"/>
      <c r="G8" s="760"/>
      <c r="H8" s="760"/>
      <c r="I8" s="762" t="s">
        <v>94</v>
      </c>
      <c r="J8" s="161" t="s">
        <v>95</v>
      </c>
      <c r="K8" s="760" t="s">
        <v>54</v>
      </c>
      <c r="L8" s="760"/>
      <c r="M8" s="760"/>
      <c r="N8" s="760"/>
      <c r="O8" s="760"/>
      <c r="P8" s="760"/>
      <c r="Q8" s="760"/>
      <c r="R8" s="760"/>
      <c r="S8" s="760"/>
      <c r="T8" s="760"/>
    </row>
    <row r="9" spans="2:20" s="34" customFormat="1" ht="32.450000000000003" customHeight="1">
      <c r="B9" s="765"/>
      <c r="C9" s="765"/>
      <c r="D9" s="161" t="s">
        <v>96</v>
      </c>
      <c r="E9" s="161" t="s">
        <v>97</v>
      </c>
      <c r="F9" s="161" t="s">
        <v>98</v>
      </c>
      <c r="G9" s="161" t="s">
        <v>99</v>
      </c>
      <c r="H9" s="161" t="s">
        <v>100</v>
      </c>
      <c r="I9" s="762"/>
      <c r="J9" s="161" t="s">
        <v>101</v>
      </c>
      <c r="K9" s="766" t="s">
        <v>56</v>
      </c>
      <c r="L9" s="767"/>
      <c r="M9" s="766" t="s">
        <v>57</v>
      </c>
      <c r="N9" s="767"/>
      <c r="O9" s="766" t="s">
        <v>58</v>
      </c>
      <c r="P9" s="767"/>
      <c r="Q9" s="766" t="s">
        <v>59</v>
      </c>
      <c r="R9" s="767"/>
      <c r="S9" s="766" t="s">
        <v>60</v>
      </c>
      <c r="T9" s="767"/>
    </row>
    <row r="10" spans="2:20" s="34" customFormat="1" ht="41.45">
      <c r="B10" s="765"/>
      <c r="C10" s="765"/>
      <c r="D10" s="157" t="s">
        <v>102</v>
      </c>
      <c r="E10" s="157" t="s">
        <v>103</v>
      </c>
      <c r="F10" s="157" t="s">
        <v>104</v>
      </c>
      <c r="G10" s="157" t="s">
        <v>105</v>
      </c>
      <c r="H10" s="157" t="s">
        <v>106</v>
      </c>
      <c r="I10" s="157" t="s">
        <v>107</v>
      </c>
      <c r="J10" s="162" t="s">
        <v>108</v>
      </c>
      <c r="K10" s="161" t="s">
        <v>109</v>
      </c>
      <c r="L10" s="157" t="s">
        <v>110</v>
      </c>
      <c r="M10" s="161" t="s">
        <v>109</v>
      </c>
      <c r="N10" s="157" t="s">
        <v>110</v>
      </c>
      <c r="O10" s="161" t="s">
        <v>109</v>
      </c>
      <c r="P10" s="157" t="s">
        <v>110</v>
      </c>
      <c r="Q10" s="161" t="s">
        <v>109</v>
      </c>
      <c r="R10" s="157" t="s">
        <v>110</v>
      </c>
      <c r="S10" s="161" t="s">
        <v>109</v>
      </c>
      <c r="T10" s="157" t="s">
        <v>110</v>
      </c>
    </row>
    <row r="11" spans="2:20">
      <c r="B11" s="35">
        <v>1</v>
      </c>
      <c r="C11" s="47" t="s">
        <v>111</v>
      </c>
      <c r="D11" s="402">
        <f>'F2.2'!L33</f>
        <v>567.74698999208545</v>
      </c>
      <c r="E11" s="402">
        <f>'F2.2'!M33</f>
        <v>608.43526000516476</v>
      </c>
      <c r="F11" s="402">
        <f>'F2.2'!N33</f>
        <v>660.18273000000011</v>
      </c>
      <c r="G11" s="402">
        <f>'F2.2'!O33</f>
        <v>823.7108119935549</v>
      </c>
      <c r="H11" s="402">
        <f>'F2.2'!P33</f>
        <v>771.31573001695881</v>
      </c>
      <c r="I11" s="402">
        <f>(D11+E11+F11+G11+H11)/5</f>
        <v>686.27830440155287</v>
      </c>
      <c r="J11" s="402">
        <f>I11*(1+$E$24)*(1+$E$25)*(1+$E$26)</f>
        <v>787.51968982728863</v>
      </c>
      <c r="K11" s="402">
        <f>J11*$E$27+J11</f>
        <v>823.84728067155424</v>
      </c>
      <c r="L11" s="402">
        <f>'F2.2'!AL33</f>
        <v>920.92743416019835</v>
      </c>
      <c r="M11" s="402">
        <f>K11*$E$27+K11</f>
        <v>861.85063133947301</v>
      </c>
      <c r="N11" s="402">
        <f>'F2.2'!AM33</f>
        <v>986.90370769211927</v>
      </c>
      <c r="O11" s="402">
        <f>M11*$E$27+M11</f>
        <v>901.60704315825399</v>
      </c>
      <c r="P11" s="402">
        <f>'F2.2'!AN33</f>
        <v>1032.4287079668309</v>
      </c>
      <c r="Q11" s="402">
        <f>O11*$E$27+O11</f>
        <v>943.19738329736128</v>
      </c>
      <c r="R11" s="402">
        <f>'F2.2'!AO33</f>
        <v>1080.0537364751569</v>
      </c>
      <c r="S11" s="402">
        <f>Q11*$E$27+Q11</f>
        <v>986.70624925768152</v>
      </c>
      <c r="T11" s="402">
        <f>'F2.2'!AP33</f>
        <v>1129.8756656730091</v>
      </c>
    </row>
    <row r="12" spans="2:20" s="31" customFormat="1">
      <c r="B12" s="35">
        <f>B11+1</f>
        <v>2</v>
      </c>
      <c r="C12" s="65" t="s">
        <v>112</v>
      </c>
      <c r="D12" s="402">
        <f>'F2.3'!N33</f>
        <v>252.70506188410005</v>
      </c>
      <c r="E12" s="402">
        <f>'F2.3'!O33</f>
        <v>80.343752436800003</v>
      </c>
      <c r="F12" s="402">
        <f>'F2.3'!P33</f>
        <v>159.57384167117499</v>
      </c>
      <c r="G12" s="402">
        <f>'F2.3'!Q33</f>
        <v>265.40470516619513</v>
      </c>
      <c r="H12" s="402">
        <f>'F2.3'!R33</f>
        <v>315.35025879930504</v>
      </c>
      <c r="I12" s="402">
        <f t="shared" ref="I12:I13" si="0">(D12+E12+F12+G12+H12)/5</f>
        <v>214.67552399151504</v>
      </c>
      <c r="J12" s="402">
        <f>I12*(1+$E$24)*(1+$E$25)*(1+$E$26)</f>
        <v>246.34496090435644</v>
      </c>
      <c r="K12" s="402">
        <f>J12*$E$27+J12</f>
        <v>257.70863734556735</v>
      </c>
      <c r="L12" s="402">
        <f>'F2.3'!AT33</f>
        <v>376.01670150304301</v>
      </c>
      <c r="M12" s="402">
        <f>K12*$E$27+K12</f>
        <v>269.59651018919897</v>
      </c>
      <c r="N12" s="402">
        <f>'F2.3'!AU33</f>
        <v>394.27360484583596</v>
      </c>
      <c r="O12" s="402">
        <f>M12*$E$27+M12</f>
        <v>282.03276015438138</v>
      </c>
      <c r="P12" s="402">
        <f>'F2.3'!AV33</f>
        <v>413.41694360050224</v>
      </c>
      <c r="Q12" s="402">
        <f>O12*$E$27+O12</f>
        <v>295.04268339555676</v>
      </c>
      <c r="R12" s="402">
        <f>'F2.3'!AW33</f>
        <v>433.48975725323879</v>
      </c>
      <c r="S12" s="402">
        <f>Q12*$E$27+Q12</f>
        <v>308.65274295652927</v>
      </c>
      <c r="T12" s="402">
        <f>'F2.3'!AX33</f>
        <v>454.53717500523754</v>
      </c>
    </row>
    <row r="13" spans="2:20">
      <c r="B13" s="35">
        <f>B12+1</f>
        <v>3</v>
      </c>
      <c r="C13" s="47" t="s">
        <v>113</v>
      </c>
      <c r="D13" s="402">
        <f>'F2.4'!K18</f>
        <v>7.4329000000000001</v>
      </c>
      <c r="E13" s="402">
        <f>'F2.4'!L18</f>
        <v>9.997735058</v>
      </c>
      <c r="F13" s="402">
        <f>'F2.4'!M18</f>
        <v>9.811225799999999</v>
      </c>
      <c r="G13" s="402">
        <f>'F2.4'!N18</f>
        <v>7.4854250000000002</v>
      </c>
      <c r="H13" s="402">
        <f>'F2.4'!O18</f>
        <v>20.4723656</v>
      </c>
      <c r="I13" s="402">
        <f t="shared" si="0"/>
        <v>11.039930291600001</v>
      </c>
      <c r="J13" s="402">
        <f>I13*(1+$E$24)*(1+$E$25)*(1+$E$26)</f>
        <v>12.66856670711336</v>
      </c>
      <c r="K13" s="402">
        <f>J13*$E$27+J13</f>
        <v>13.252956550140942</v>
      </c>
      <c r="L13" s="402">
        <f>'F2.4'!AM18</f>
        <v>13.636359579800295</v>
      </c>
      <c r="M13" s="402">
        <f>K13*$E$27+K13</f>
        <v>13.864303782787196</v>
      </c>
      <c r="N13" s="402">
        <f>'F2.4'!AN18</f>
        <v>14.265392857087507</v>
      </c>
      <c r="O13" s="402">
        <f>M13*$E$27+M13</f>
        <v>14.503851925732237</v>
      </c>
      <c r="P13" s="402">
        <f>'F2.4'!AO18</f>
        <v>14.923442886361869</v>
      </c>
      <c r="Q13" s="402">
        <f>O13*$E$27+O13</f>
        <v>15.172901862171752</v>
      </c>
      <c r="R13" s="402">
        <f>'F2.4'!AP16</f>
        <v>15.611848184878808</v>
      </c>
      <c r="S13" s="402">
        <f>Q13*$E$27+Q13</f>
        <v>15.872814483899411</v>
      </c>
      <c r="T13" s="402">
        <f>'F2.4'!AQ18</f>
        <v>16.332009014517809</v>
      </c>
    </row>
    <row r="14" spans="2:20">
      <c r="B14" s="400">
        <f>B13+1</f>
        <v>4</v>
      </c>
      <c r="C14" s="401" t="s">
        <v>114</v>
      </c>
      <c r="D14" s="273">
        <f>SUM(D11:D13)</f>
        <v>827.88495187618548</v>
      </c>
      <c r="E14" s="273">
        <f t="shared" ref="E14:I14" si="1">SUM(E11:E13)</f>
        <v>698.77674749996481</v>
      </c>
      <c r="F14" s="273">
        <f t="shared" si="1"/>
        <v>829.56779747117514</v>
      </c>
      <c r="G14" s="273">
        <f t="shared" si="1"/>
        <v>1096.60094215975</v>
      </c>
      <c r="H14" s="273">
        <f t="shared" si="1"/>
        <v>1107.1383544162641</v>
      </c>
      <c r="I14" s="273">
        <f t="shared" si="1"/>
        <v>911.99375868466791</v>
      </c>
      <c r="J14" s="273">
        <f t="shared" ref="J14:T14" si="2">SUM(J11:J13)</f>
        <v>1046.5332174387584</v>
      </c>
      <c r="K14" s="273">
        <f t="shared" si="2"/>
        <v>1094.8088745672626</v>
      </c>
      <c r="L14" s="273">
        <f t="shared" si="2"/>
        <v>1310.5804952430417</v>
      </c>
      <c r="M14" s="273">
        <f t="shared" si="2"/>
        <v>1145.3114453114592</v>
      </c>
      <c r="N14" s="273">
        <f>SUM(N11:N13)</f>
        <v>1395.4427053950428</v>
      </c>
      <c r="O14" s="273">
        <f t="shared" si="2"/>
        <v>1198.1436552383677</v>
      </c>
      <c r="P14" s="273">
        <f t="shared" si="2"/>
        <v>1460.7690944536951</v>
      </c>
      <c r="Q14" s="273">
        <f t="shared" si="2"/>
        <v>1253.4129685550897</v>
      </c>
      <c r="R14" s="273">
        <f t="shared" si="2"/>
        <v>1529.1553419132747</v>
      </c>
      <c r="S14" s="273">
        <f t="shared" si="2"/>
        <v>1311.2318066981102</v>
      </c>
      <c r="T14" s="273">
        <f t="shared" si="2"/>
        <v>1600.7448496927643</v>
      </c>
    </row>
    <row r="15" spans="2:20">
      <c r="B15" s="35">
        <f>B14+1</f>
        <v>5</v>
      </c>
      <c r="C15" s="488" t="s">
        <v>115</v>
      </c>
      <c r="D15" s="489">
        <v>0</v>
      </c>
      <c r="E15" s="489">
        <v>0</v>
      </c>
      <c r="F15" s="489">
        <v>0</v>
      </c>
      <c r="G15" s="489">
        <v>0</v>
      </c>
      <c r="H15" s="489">
        <v>0</v>
      </c>
      <c r="I15" s="489">
        <v>0</v>
      </c>
      <c r="J15" s="489">
        <v>0</v>
      </c>
      <c r="K15" s="489">
        <v>0</v>
      </c>
      <c r="L15" s="489">
        <v>0</v>
      </c>
      <c r="M15" s="489">
        <v>0</v>
      </c>
      <c r="N15" s="489">
        <v>0</v>
      </c>
      <c r="O15" s="489">
        <v>0</v>
      </c>
      <c r="P15" s="489">
        <v>0</v>
      </c>
      <c r="Q15" s="489">
        <v>0</v>
      </c>
      <c r="R15" s="489">
        <v>0</v>
      </c>
      <c r="S15" s="489">
        <v>0</v>
      </c>
      <c r="T15" s="489">
        <v>0</v>
      </c>
    </row>
    <row r="16" spans="2:20" ht="27.6">
      <c r="B16" s="487">
        <f>B15+1</f>
        <v>6</v>
      </c>
      <c r="C16" s="49" t="s">
        <v>116</v>
      </c>
      <c r="D16" s="273">
        <f>D14-D15</f>
        <v>827.88495187618548</v>
      </c>
      <c r="E16" s="273">
        <f t="shared" ref="E16:J16" si="3">E14-E15</f>
        <v>698.77674749996481</v>
      </c>
      <c r="F16" s="273">
        <f t="shared" si="3"/>
        <v>829.56779747117514</v>
      </c>
      <c r="G16" s="273">
        <f t="shared" si="3"/>
        <v>1096.60094215975</v>
      </c>
      <c r="H16" s="273">
        <f t="shared" si="3"/>
        <v>1107.1383544162641</v>
      </c>
      <c r="I16" s="273">
        <f t="shared" si="3"/>
        <v>911.99375868466791</v>
      </c>
      <c r="J16" s="273">
        <f t="shared" si="3"/>
        <v>1046.5332174387584</v>
      </c>
      <c r="K16" s="273">
        <f t="shared" ref="K16" si="4">K14-K15</f>
        <v>1094.8088745672626</v>
      </c>
      <c r="L16" s="273">
        <f t="shared" ref="L16:T16" si="5">L14-L15</f>
        <v>1310.5804952430417</v>
      </c>
      <c r="M16" s="273">
        <f t="shared" si="5"/>
        <v>1145.3114453114592</v>
      </c>
      <c r="N16" s="273">
        <f>N14-N15</f>
        <v>1395.4427053950428</v>
      </c>
      <c r="O16" s="273">
        <f t="shared" si="5"/>
        <v>1198.1436552383677</v>
      </c>
      <c r="P16" s="273">
        <f t="shared" si="5"/>
        <v>1460.7690944536951</v>
      </c>
      <c r="Q16" s="273">
        <f t="shared" si="5"/>
        <v>1253.4129685550897</v>
      </c>
      <c r="R16" s="273">
        <f t="shared" si="5"/>
        <v>1529.1553419132747</v>
      </c>
      <c r="S16" s="273">
        <f t="shared" si="5"/>
        <v>1311.2318066981102</v>
      </c>
      <c r="T16" s="273">
        <f t="shared" si="5"/>
        <v>1600.7448496927643</v>
      </c>
    </row>
    <row r="17" spans="2:20">
      <c r="D17" s="485"/>
      <c r="E17" s="485"/>
      <c r="F17" s="485"/>
      <c r="G17" s="485"/>
      <c r="H17" s="485"/>
      <c r="I17" s="485"/>
      <c r="J17" s="485"/>
      <c r="K17" s="485"/>
      <c r="L17" s="485"/>
      <c r="M17" s="485"/>
      <c r="N17" s="485"/>
      <c r="O17" s="485"/>
      <c r="P17" s="485"/>
      <c r="Q17" s="485"/>
      <c r="R17" s="485"/>
      <c r="S17" s="485"/>
      <c r="T17" s="485"/>
    </row>
    <row r="18" spans="2:20">
      <c r="B18" s="28" t="s">
        <v>117</v>
      </c>
      <c r="D18" s="486"/>
      <c r="E18" s="486"/>
      <c r="F18" s="486"/>
      <c r="G18" s="486"/>
      <c r="H18" s="486"/>
      <c r="I18" s="486"/>
      <c r="J18" s="486"/>
      <c r="K18" s="486"/>
      <c r="L18" s="486"/>
      <c r="M18" s="486"/>
      <c r="N18" s="486"/>
      <c r="O18" s="486"/>
      <c r="P18" s="486"/>
      <c r="Q18" s="486"/>
      <c r="R18" s="486"/>
      <c r="S18" s="486"/>
      <c r="T18" s="486"/>
    </row>
    <row r="19" spans="2:20">
      <c r="B19" s="156">
        <v>1</v>
      </c>
      <c r="C19" s="156" t="s">
        <v>118</v>
      </c>
    </row>
    <row r="20" spans="2:20">
      <c r="B20" s="156">
        <v>2</v>
      </c>
      <c r="C20" s="156" t="s">
        <v>119</v>
      </c>
    </row>
    <row r="21" spans="2:20">
      <c r="B21" s="156">
        <v>3</v>
      </c>
      <c r="C21" s="156" t="s">
        <v>120</v>
      </c>
    </row>
    <row r="22" spans="2:20">
      <c r="B22" s="156">
        <v>4</v>
      </c>
      <c r="C22" s="156" t="s">
        <v>121</v>
      </c>
    </row>
    <row r="23" spans="2:20" ht="14.45">
      <c r="D23" s="480" t="s">
        <v>122</v>
      </c>
      <c r="E23" s="252"/>
      <c r="H23" s="480" t="s">
        <v>123</v>
      </c>
      <c r="I23" s="252"/>
    </row>
    <row r="24" spans="2:20">
      <c r="D24" s="306" t="s">
        <v>124</v>
      </c>
      <c r="E24" s="467">
        <v>4.8553437306946882E-2</v>
      </c>
      <c r="H24" s="466" t="s">
        <v>124</v>
      </c>
      <c r="I24" s="467">
        <v>5.8553437306946884E-2</v>
      </c>
    </row>
    <row r="25" spans="2:20">
      <c r="D25" s="306" t="s">
        <v>125</v>
      </c>
      <c r="E25" s="467">
        <v>4.6129120723613429E-2</v>
      </c>
      <c r="H25" s="466" t="s">
        <v>125</v>
      </c>
      <c r="I25" s="467">
        <v>5.6129120723613431E-2</v>
      </c>
    </row>
    <row r="26" spans="2:20">
      <c r="D26" s="306" t="s">
        <v>126</v>
      </c>
      <c r="E26" s="467">
        <v>4.6129120723613429E-2</v>
      </c>
      <c r="H26" s="466" t="s">
        <v>126</v>
      </c>
      <c r="I26" s="467">
        <v>5.6129120723613431E-2</v>
      </c>
    </row>
    <row r="27" spans="2:20">
      <c r="D27" s="306" t="s">
        <v>127</v>
      </c>
      <c r="E27" s="467">
        <v>4.6129120723613429E-2</v>
      </c>
      <c r="H27" s="466" t="s">
        <v>127</v>
      </c>
      <c r="I27" s="467">
        <v>4.6129120723613429E-2</v>
      </c>
    </row>
    <row r="29" spans="2:20" ht="13.9" customHeight="1">
      <c r="B29" s="765" t="s">
        <v>2</v>
      </c>
      <c r="C29" s="765" t="s">
        <v>53</v>
      </c>
      <c r="D29" s="760" t="s">
        <v>93</v>
      </c>
      <c r="E29" s="760"/>
      <c r="F29" s="760"/>
      <c r="G29" s="760"/>
      <c r="H29" s="760"/>
      <c r="I29" s="762" t="s">
        <v>94</v>
      </c>
      <c r="J29" s="161" t="s">
        <v>123</v>
      </c>
      <c r="K29"/>
      <c r="L29"/>
      <c r="M29"/>
      <c r="N29"/>
      <c r="O29"/>
      <c r="P29"/>
      <c r="Q29"/>
      <c r="R29"/>
      <c r="S29"/>
      <c r="T29"/>
    </row>
    <row r="30" spans="2:20">
      <c r="B30" s="765"/>
      <c r="C30" s="765"/>
      <c r="D30" s="161" t="s">
        <v>96</v>
      </c>
      <c r="E30" s="161" t="s">
        <v>97</v>
      </c>
      <c r="F30" s="161" t="s">
        <v>98</v>
      </c>
      <c r="G30" s="161" t="s">
        <v>99</v>
      </c>
      <c r="H30" s="161" t="s">
        <v>100</v>
      </c>
      <c r="I30" s="762"/>
      <c r="J30" s="161" t="s">
        <v>101</v>
      </c>
      <c r="K30"/>
      <c r="L30"/>
      <c r="M30"/>
      <c r="N30"/>
      <c r="O30"/>
      <c r="P30"/>
      <c r="Q30"/>
      <c r="R30"/>
      <c r="S30"/>
      <c r="T30"/>
    </row>
    <row r="31" spans="2:20" ht="41.45">
      <c r="B31" s="765"/>
      <c r="C31" s="765"/>
      <c r="D31" s="157" t="s">
        <v>102</v>
      </c>
      <c r="E31" s="157" t="s">
        <v>103</v>
      </c>
      <c r="F31" s="157" t="s">
        <v>104</v>
      </c>
      <c r="G31" s="157" t="s">
        <v>105</v>
      </c>
      <c r="H31" s="157" t="s">
        <v>106</v>
      </c>
      <c r="I31" s="157" t="s">
        <v>107</v>
      </c>
      <c r="J31" s="162" t="s">
        <v>108</v>
      </c>
      <c r="K31"/>
      <c r="L31"/>
      <c r="M31"/>
      <c r="N31"/>
      <c r="O31"/>
      <c r="P31"/>
      <c r="Q31"/>
      <c r="R31"/>
      <c r="S31"/>
      <c r="T31"/>
    </row>
    <row r="32" spans="2:20">
      <c r="B32" s="35">
        <v>1</v>
      </c>
      <c r="C32" s="47" t="s">
        <v>111</v>
      </c>
      <c r="D32" s="402">
        <v>567.74698999208545</v>
      </c>
      <c r="E32" s="402">
        <v>608.43526000516476</v>
      </c>
      <c r="F32" s="402">
        <v>660.18273000000011</v>
      </c>
      <c r="G32" s="402">
        <v>823.7108119935549</v>
      </c>
      <c r="H32" s="402">
        <v>771.31573001695881</v>
      </c>
      <c r="I32" s="402">
        <v>686.27830440155287</v>
      </c>
      <c r="J32" s="402">
        <f>'F2.2'!AH33</f>
        <v>810.30233714480119</v>
      </c>
      <c r="K32"/>
      <c r="L32"/>
      <c r="M32"/>
      <c r="N32"/>
      <c r="O32"/>
      <c r="P32"/>
      <c r="Q32"/>
      <c r="R32"/>
      <c r="S32"/>
      <c r="T32"/>
    </row>
    <row r="33" spans="2:20">
      <c r="B33" s="35">
        <v>2</v>
      </c>
      <c r="C33" s="65" t="s">
        <v>112</v>
      </c>
      <c r="D33" s="402">
        <v>252.70506188410005</v>
      </c>
      <c r="E33" s="402">
        <v>80.343752436800003</v>
      </c>
      <c r="F33" s="402">
        <v>159.57384167117499</v>
      </c>
      <c r="G33" s="402">
        <v>265.40470516619513</v>
      </c>
      <c r="H33" s="402">
        <v>315.35025879930504</v>
      </c>
      <c r="I33" s="402">
        <v>214.67552399151504</v>
      </c>
      <c r="J33" s="402">
        <f>'F2.3'!AP33</f>
        <v>359.43622451017353</v>
      </c>
      <c r="K33"/>
      <c r="L33"/>
      <c r="M33"/>
      <c r="N33"/>
      <c r="O33"/>
      <c r="P33"/>
      <c r="Q33"/>
      <c r="R33"/>
      <c r="S33"/>
      <c r="T33"/>
    </row>
    <row r="34" spans="2:20">
      <c r="B34" s="35">
        <v>3</v>
      </c>
      <c r="C34" s="47" t="s">
        <v>113</v>
      </c>
      <c r="D34" s="402">
        <v>7.4329000000000001</v>
      </c>
      <c r="E34" s="402">
        <v>9.997735058</v>
      </c>
      <c r="F34" s="402">
        <v>9.811225799999999</v>
      </c>
      <c r="G34" s="402">
        <v>7.4854250000000002</v>
      </c>
      <c r="H34" s="402">
        <v>20.4723656</v>
      </c>
      <c r="I34" s="402">
        <v>11.039930291600001</v>
      </c>
      <c r="J34" s="402">
        <f>'F2.4'!AI18</f>
        <v>13.035063559236312</v>
      </c>
      <c r="K34"/>
      <c r="L34"/>
      <c r="M34"/>
      <c r="N34"/>
      <c r="O34"/>
      <c r="P34"/>
      <c r="Q34"/>
      <c r="R34"/>
      <c r="S34"/>
      <c r="T34"/>
    </row>
    <row r="35" spans="2:20">
      <c r="B35" s="400">
        <v>4</v>
      </c>
      <c r="C35" s="401" t="s">
        <v>114</v>
      </c>
      <c r="D35" s="273">
        <v>827.88495187618548</v>
      </c>
      <c r="E35" s="273">
        <v>698.77674749996481</v>
      </c>
      <c r="F35" s="273">
        <v>829.56779747117514</v>
      </c>
      <c r="G35" s="273">
        <v>1096.60094215975</v>
      </c>
      <c r="H35" s="273">
        <v>1107.1383544162641</v>
      </c>
      <c r="I35" s="273">
        <v>911.99375868466791</v>
      </c>
      <c r="J35" s="273">
        <f>SUM(J32:J34)</f>
        <v>1182.7736252142111</v>
      </c>
      <c r="K35"/>
      <c r="L35"/>
      <c r="M35"/>
      <c r="N35"/>
      <c r="O35"/>
      <c r="P35"/>
      <c r="Q35"/>
      <c r="R35"/>
      <c r="S35"/>
      <c r="T35"/>
    </row>
    <row r="36" spans="2:20">
      <c r="B36" s="35">
        <v>5</v>
      </c>
      <c r="C36" s="488" t="s">
        <v>115</v>
      </c>
      <c r="D36" s="489">
        <v>0</v>
      </c>
      <c r="E36" s="489">
        <v>0</v>
      </c>
      <c r="F36" s="489">
        <v>0</v>
      </c>
      <c r="G36" s="489">
        <v>0</v>
      </c>
      <c r="H36" s="489">
        <v>0</v>
      </c>
      <c r="I36" s="489">
        <v>0</v>
      </c>
      <c r="J36" s="489">
        <v>0</v>
      </c>
      <c r="K36"/>
      <c r="L36"/>
      <c r="M36"/>
      <c r="N36"/>
      <c r="O36"/>
      <c r="P36"/>
      <c r="Q36"/>
      <c r="R36"/>
      <c r="S36"/>
      <c r="T36"/>
    </row>
    <row r="37" spans="2:20" ht="27.6">
      <c r="B37" s="487">
        <v>6</v>
      </c>
      <c r="C37" s="49" t="s">
        <v>116</v>
      </c>
      <c r="D37" s="273">
        <v>827.88495187618548</v>
      </c>
      <c r="E37" s="273">
        <v>698.77674749996481</v>
      </c>
      <c r="F37" s="273">
        <v>829.56779747117514</v>
      </c>
      <c r="G37" s="273">
        <v>1096.60094215975</v>
      </c>
      <c r="H37" s="273">
        <v>1107.1383544162641</v>
      </c>
      <c r="I37" s="273">
        <v>911.99375868466791</v>
      </c>
      <c r="J37" s="273">
        <f>J35-J36</f>
        <v>1182.7736252142111</v>
      </c>
      <c r="K37"/>
      <c r="L37"/>
      <c r="M37"/>
      <c r="N37"/>
      <c r="O37"/>
      <c r="P37"/>
      <c r="Q37"/>
      <c r="R37"/>
      <c r="S37"/>
      <c r="T37"/>
    </row>
    <row r="38" spans="2:20">
      <c r="C38" s="483"/>
      <c r="D38" s="483"/>
      <c r="E38" s="483"/>
      <c r="F38" s="483"/>
      <c r="G38" s="483"/>
      <c r="H38" s="483"/>
      <c r="I38" s="483"/>
      <c r="J38" s="483"/>
      <c r="K38" s="483"/>
      <c r="L38" s="483"/>
      <c r="M38" s="483"/>
      <c r="N38" s="483"/>
      <c r="O38" s="483"/>
      <c r="P38" s="483"/>
      <c r="Q38" s="483"/>
      <c r="R38" s="483"/>
      <c r="S38" s="483"/>
      <c r="T38" s="483"/>
    </row>
    <row r="39" spans="2:20">
      <c r="C39" s="483"/>
      <c r="D39" s="483"/>
      <c r="E39" s="483"/>
      <c r="F39" s="483"/>
      <c r="G39" s="483"/>
      <c r="H39" s="483"/>
      <c r="I39" s="483"/>
      <c r="J39" s="483"/>
      <c r="K39" s="483"/>
      <c r="L39" s="483"/>
      <c r="M39" s="483"/>
      <c r="N39" s="483"/>
      <c r="O39" s="483"/>
      <c r="P39" s="483"/>
      <c r="Q39" s="483"/>
      <c r="R39" s="483"/>
      <c r="S39" s="483"/>
      <c r="T39" s="483"/>
    </row>
    <row r="40" spans="2:20">
      <c r="C40" s="483"/>
      <c r="D40" s="483"/>
      <c r="E40" s="483"/>
      <c r="F40" s="483"/>
      <c r="G40" s="483"/>
      <c r="H40" s="483"/>
      <c r="I40" s="483"/>
      <c r="J40" s="483"/>
      <c r="K40" s="483"/>
      <c r="L40" s="483"/>
      <c r="M40" s="483"/>
      <c r="N40" s="483"/>
      <c r="O40" s="483"/>
      <c r="P40" s="483"/>
      <c r="Q40" s="483"/>
      <c r="R40" s="483"/>
      <c r="S40" s="483"/>
      <c r="T40" s="483"/>
    </row>
    <row r="41" spans="2:20">
      <c r="C41" s="483"/>
      <c r="D41" s="483"/>
      <c r="E41" s="483"/>
      <c r="F41" s="483"/>
      <c r="G41" s="483"/>
      <c r="H41" s="483"/>
      <c r="I41" s="483"/>
      <c r="J41" s="483"/>
      <c r="K41" s="483"/>
      <c r="L41" s="483"/>
      <c r="M41" s="483"/>
      <c r="N41" s="483"/>
      <c r="O41" s="483"/>
      <c r="P41" s="483"/>
      <c r="Q41" s="483"/>
      <c r="R41" s="483"/>
      <c r="S41" s="483"/>
      <c r="T41" s="483"/>
    </row>
  </sheetData>
  <mergeCells count="14">
    <mergeCell ref="K8:T8"/>
    <mergeCell ref="K9:L9"/>
    <mergeCell ref="M9:N9"/>
    <mergeCell ref="Q9:R9"/>
    <mergeCell ref="S9:T9"/>
    <mergeCell ref="O9:P9"/>
    <mergeCell ref="B29:B31"/>
    <mergeCell ref="C29:C31"/>
    <mergeCell ref="D29:H29"/>
    <mergeCell ref="I29:I30"/>
    <mergeCell ref="B8:B10"/>
    <mergeCell ref="C8:C10"/>
    <mergeCell ref="D8:H8"/>
    <mergeCell ref="I8:I9"/>
  </mergeCells>
  <pageMargins left="0.70866141732283472" right="0.70866141732283472" top="0.74803149606299213" bottom="0.74803149606299213" header="0.31496062992125984" footer="0.31496062992125984"/>
  <pageSetup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R61"/>
  <sheetViews>
    <sheetView tabSelected="1" view="pageBreakPreview" zoomScaleNormal="36" zoomScaleSheetLayoutView="100" workbookViewId="0">
      <pane xSplit="2" ySplit="7" topLeftCell="AK8" activePane="bottomRight" state="frozen"/>
      <selection pane="bottomRight" activeCell="AK3" sqref="AK3"/>
      <selection pane="bottomLeft" activeCell="A8" sqref="A8"/>
      <selection pane="topRight" activeCell="C1" sqref="C1"/>
    </sheetView>
  </sheetViews>
  <sheetFormatPr defaultColWidth="8.85546875" defaultRowHeight="13.15"/>
  <cols>
    <col min="1" max="1" width="8.85546875" style="252"/>
    <col min="2" max="2" width="38.140625" style="252" bestFit="1" customWidth="1"/>
    <col min="3" max="7" width="13" style="252" hidden="1" customWidth="1"/>
    <col min="8" max="8" width="56.7109375" style="252" hidden="1" customWidth="1"/>
    <col min="9" max="10" width="8.85546875" style="252" hidden="1" customWidth="1"/>
    <col min="11" max="11" width="38.140625" style="252" hidden="1" customWidth="1"/>
    <col min="12" max="16" width="12.5703125" style="252" hidden="1" customWidth="1"/>
    <col min="17" max="17" width="8.85546875" style="252" hidden="1" customWidth="1"/>
    <col min="18" max="18" width="21.140625" style="252" hidden="1" customWidth="1"/>
    <col min="19" max="22" width="18.7109375" style="252" hidden="1" customWidth="1"/>
    <col min="23" max="23" width="0" style="252" hidden="1" customWidth="1"/>
    <col min="24" max="24" width="38.7109375" style="252" hidden="1" customWidth="1"/>
    <col min="25" max="29" width="11.28515625" style="252" hidden="1" customWidth="1"/>
    <col min="30" max="30" width="19.140625" style="252" hidden="1" customWidth="1"/>
    <col min="31" max="35" width="19.140625" style="252" customWidth="1"/>
    <col min="36" max="36" width="8.85546875" style="252" bestFit="1"/>
    <col min="37" max="37" width="38.7109375" style="252" bestFit="1" customWidth="1"/>
    <col min="38" max="42" width="11.28515625" style="252" bestFit="1" customWidth="1"/>
    <col min="43" max="16384" width="8.85546875" style="252"/>
  </cols>
  <sheetData>
    <row r="2" spans="1:44">
      <c r="E2" s="274" t="s">
        <v>0</v>
      </c>
    </row>
    <row r="3" spans="1:44">
      <c r="E3" s="275" t="s">
        <v>1</v>
      </c>
      <c r="Y3"/>
      <c r="Z3"/>
      <c r="AA3"/>
      <c r="AB3"/>
      <c r="AC3"/>
    </row>
    <row r="4" spans="1:44">
      <c r="E4" s="274" t="s">
        <v>128</v>
      </c>
    </row>
    <row r="5" spans="1:44">
      <c r="A5" s="415" t="s">
        <v>129</v>
      </c>
      <c r="G5" s="276" t="s">
        <v>130</v>
      </c>
      <c r="H5" s="276"/>
      <c r="J5" s="415" t="s">
        <v>131</v>
      </c>
      <c r="P5" s="276" t="s">
        <v>52</v>
      </c>
      <c r="R5" s="415" t="s">
        <v>132</v>
      </c>
      <c r="W5" s="415" t="s">
        <v>133</v>
      </c>
      <c r="AC5" s="276" t="s">
        <v>52</v>
      </c>
      <c r="AE5" s="415" t="s">
        <v>134</v>
      </c>
      <c r="AJ5" s="415" t="s">
        <v>135</v>
      </c>
      <c r="AP5" s="276" t="s">
        <v>52</v>
      </c>
    </row>
    <row r="6" spans="1:44" ht="13.15" customHeight="1">
      <c r="A6" s="770" t="s">
        <v>2</v>
      </c>
      <c r="B6" s="772" t="s">
        <v>53</v>
      </c>
      <c r="C6" s="768" t="s">
        <v>96</v>
      </c>
      <c r="D6" s="768" t="s">
        <v>97</v>
      </c>
      <c r="E6" s="768" t="s">
        <v>98</v>
      </c>
      <c r="F6" s="768" t="s">
        <v>99</v>
      </c>
      <c r="G6" s="774" t="s">
        <v>100</v>
      </c>
      <c r="H6" s="772" t="s">
        <v>55</v>
      </c>
      <c r="J6" s="770" t="s">
        <v>2</v>
      </c>
      <c r="K6" s="772" t="s">
        <v>53</v>
      </c>
      <c r="L6" s="768" t="s">
        <v>96</v>
      </c>
      <c r="M6" s="768" t="s">
        <v>97</v>
      </c>
      <c r="N6" s="768" t="s">
        <v>98</v>
      </c>
      <c r="O6" s="768" t="s">
        <v>99</v>
      </c>
      <c r="P6" s="768" t="s">
        <v>100</v>
      </c>
      <c r="R6" s="770" t="s">
        <v>94</v>
      </c>
      <c r="S6" s="416" t="s">
        <v>95</v>
      </c>
      <c r="T6" s="416" t="s">
        <v>95</v>
      </c>
      <c r="U6" s="416" t="s">
        <v>95</v>
      </c>
      <c r="W6" s="770" t="s">
        <v>2</v>
      </c>
      <c r="X6" s="772" t="s">
        <v>53</v>
      </c>
      <c r="Y6" s="768" t="s">
        <v>56</v>
      </c>
      <c r="Z6" s="768" t="s">
        <v>57</v>
      </c>
      <c r="AA6" s="768" t="s">
        <v>58</v>
      </c>
      <c r="AB6" s="768" t="s">
        <v>59</v>
      </c>
      <c r="AC6" s="768" t="s">
        <v>60</v>
      </c>
      <c r="AE6" s="770" t="s">
        <v>136</v>
      </c>
      <c r="AF6" s="416" t="s">
        <v>137</v>
      </c>
      <c r="AG6" s="416" t="s">
        <v>137</v>
      </c>
      <c r="AH6" s="416" t="s">
        <v>137</v>
      </c>
      <c r="AJ6" s="770" t="s">
        <v>2</v>
      </c>
      <c r="AK6" s="772" t="s">
        <v>53</v>
      </c>
      <c r="AL6" s="768" t="s">
        <v>56</v>
      </c>
      <c r="AM6" s="768" t="s">
        <v>57</v>
      </c>
      <c r="AN6" s="768" t="s">
        <v>58</v>
      </c>
      <c r="AO6" s="768" t="s">
        <v>59</v>
      </c>
      <c r="AP6" s="768" t="s">
        <v>60</v>
      </c>
    </row>
    <row r="7" spans="1:44" ht="13.15" customHeight="1">
      <c r="A7" s="771"/>
      <c r="B7" s="772"/>
      <c r="C7" s="769"/>
      <c r="D7" s="769"/>
      <c r="E7" s="769"/>
      <c r="F7" s="769"/>
      <c r="G7" s="775"/>
      <c r="H7" s="772"/>
      <c r="J7" s="771"/>
      <c r="K7" s="772"/>
      <c r="L7" s="769"/>
      <c r="M7" s="769"/>
      <c r="N7" s="769"/>
      <c r="O7" s="769"/>
      <c r="P7" s="769"/>
      <c r="R7" s="773"/>
      <c r="S7" s="416" t="s">
        <v>99</v>
      </c>
      <c r="T7" s="416" t="s">
        <v>100</v>
      </c>
      <c r="U7" s="416" t="s">
        <v>101</v>
      </c>
      <c r="W7" s="771"/>
      <c r="X7" s="772"/>
      <c r="Y7" s="769"/>
      <c r="Z7" s="769"/>
      <c r="AA7" s="769"/>
      <c r="AB7" s="769"/>
      <c r="AC7" s="769"/>
      <c r="AE7" s="773"/>
      <c r="AF7" s="416" t="s">
        <v>99</v>
      </c>
      <c r="AG7" s="416" t="s">
        <v>100</v>
      </c>
      <c r="AH7" s="416" t="s">
        <v>101</v>
      </c>
      <c r="AJ7" s="771"/>
      <c r="AK7" s="772"/>
      <c r="AL7" s="769"/>
      <c r="AM7" s="769"/>
      <c r="AN7" s="769"/>
      <c r="AO7" s="769"/>
      <c r="AP7" s="769"/>
    </row>
    <row r="8" spans="1:44" ht="13.15" customHeight="1">
      <c r="A8" s="277">
        <v>1</v>
      </c>
      <c r="B8" s="278" t="s">
        <v>138</v>
      </c>
      <c r="C8" s="403">
        <v>25919475</v>
      </c>
      <c r="D8" s="403">
        <v>25266859</v>
      </c>
      <c r="E8" s="403">
        <v>25507139</v>
      </c>
      <c r="F8" s="404">
        <v>30021980</v>
      </c>
      <c r="G8" s="409">
        <v>27853433</v>
      </c>
      <c r="H8" s="413" t="s">
        <v>139</v>
      </c>
      <c r="J8" s="277">
        <v>1</v>
      </c>
      <c r="K8" s="278" t="s">
        <v>138</v>
      </c>
      <c r="L8" s="403">
        <f>C8/10^5</f>
        <v>259.19475</v>
      </c>
      <c r="M8" s="403">
        <f t="shared" ref="M8:M30" si="0">D8/10^5</f>
        <v>252.66858999999999</v>
      </c>
      <c r="N8" s="403">
        <f t="shared" ref="N8:N30" si="1">E8/10^5</f>
        <v>255.07139000000001</v>
      </c>
      <c r="O8" s="404">
        <f t="shared" ref="O8:O30" si="2">F8/10^5</f>
        <v>300.21980000000002</v>
      </c>
      <c r="P8" s="404">
        <f t="shared" ref="P8:P30" si="3">G8/10^5</f>
        <v>278.53433000000001</v>
      </c>
      <c r="R8" s="404">
        <f t="shared" ref="R8:R30" si="4">AVERAGE(L8:P8)</f>
        <v>269.13777199999998</v>
      </c>
      <c r="S8" s="404">
        <f t="shared" ref="S8:S30" si="5">R8+R8*$T$37</f>
        <v>282.20533593973335</v>
      </c>
      <c r="T8" s="404">
        <f t="shared" ref="T8:T30" si="6">S8+S8*$T$38</f>
        <v>295.22321995014516</v>
      </c>
      <c r="U8" s="404">
        <f>T8+T8*$T$39</f>
        <v>308.8416075036393</v>
      </c>
      <c r="W8" s="277">
        <v>1</v>
      </c>
      <c r="X8" s="278" t="s">
        <v>138</v>
      </c>
      <c r="Y8" s="403">
        <f t="shared" ref="Y8:Y30" si="7">U8+U8*$T$40</f>
        <v>323.08819930064953</v>
      </c>
      <c r="Z8" s="403">
        <f t="shared" ref="Z8:AC30" si="8">Y8+Y8*$T$40</f>
        <v>337.99197385056408</v>
      </c>
      <c r="AA8" s="403">
        <f t="shared" si="8"/>
        <v>353.58324641592912</v>
      </c>
      <c r="AB8" s="403">
        <f t="shared" si="8"/>
        <v>369.8937306756967</v>
      </c>
      <c r="AC8" s="403">
        <f t="shared" si="8"/>
        <v>386.95660323294368</v>
      </c>
      <c r="AE8" s="403">
        <f t="shared" ref="AE8:AE30" si="9">AVERAGE(L8:P8)</f>
        <v>269.13777199999998</v>
      </c>
      <c r="AF8" s="403">
        <f t="shared" ref="AF8:AF30" si="10">AE8*$AF$37+AE8</f>
        <v>284.89671365973334</v>
      </c>
      <c r="AG8" s="403">
        <f t="shared" ref="AG8:AG30" si="11">AF8*$AF$38+AF8</f>
        <v>300.88771569450125</v>
      </c>
      <c r="AH8" s="403">
        <f t="shared" ref="AH8:AH30" si="12">AG8*$AF$39+AG8</f>
        <v>317.7762786129702</v>
      </c>
      <c r="AJ8" s="277">
        <v>1</v>
      </c>
      <c r="AK8" s="278" t="s">
        <v>138</v>
      </c>
      <c r="AL8" s="403">
        <f>AH8*$AF$40+AH8+IFERROR(VLOOKUP(AK8,'Proposed Employee Salaries'!$AE$5:$AF$12,2,0)/10^5,0)</f>
        <v>365.9632584868674</v>
      </c>
      <c r="AM8" s="403">
        <f>AL8*$T$40+AL8+IFERROR(VLOOKUP(AK8,'Proposed Employee Salaries'!$AJ$30:$AK$37,2,0),0)/10^5</f>
        <v>395.53740279894805</v>
      </c>
      <c r="AN8" s="403">
        <f t="shared" ref="AN8:AP30" si="13">AM8*$T$40+AM8</f>
        <v>413.78319540336526</v>
      </c>
      <c r="AO8" s="403">
        <f t="shared" si="13"/>
        <v>432.87065037752961</v>
      </c>
      <c r="AP8" s="403">
        <f t="shared" si="13"/>
        <v>452.83859286650375</v>
      </c>
      <c r="AQ8" s="471"/>
      <c r="AR8" s="471"/>
    </row>
    <row r="9" spans="1:44">
      <c r="A9" s="277">
        <v>2</v>
      </c>
      <c r="B9" s="278" t="s">
        <v>140</v>
      </c>
      <c r="C9" s="405">
        <v>5003872</v>
      </c>
      <c r="D9" s="405">
        <v>4295357</v>
      </c>
      <c r="E9" s="405">
        <v>7365305</v>
      </c>
      <c r="F9" s="406">
        <v>11372025</v>
      </c>
      <c r="G9" s="410">
        <v>12808133</v>
      </c>
      <c r="H9" s="413" t="s">
        <v>139</v>
      </c>
      <c r="J9" s="277">
        <v>2</v>
      </c>
      <c r="K9" s="278" t="s">
        <v>140</v>
      </c>
      <c r="L9" s="405">
        <f t="shared" ref="L9:L30" si="14">C9/10^5</f>
        <v>50.038719999999998</v>
      </c>
      <c r="M9" s="405">
        <f t="shared" si="0"/>
        <v>42.953569999999999</v>
      </c>
      <c r="N9" s="405">
        <f t="shared" si="1"/>
        <v>73.653049999999993</v>
      </c>
      <c r="O9" s="406">
        <f t="shared" si="2"/>
        <v>113.72024999999999</v>
      </c>
      <c r="P9" s="406">
        <f t="shared" si="3"/>
        <v>128.08133000000001</v>
      </c>
      <c r="R9" s="404">
        <f t="shared" si="4"/>
        <v>81.68938399999999</v>
      </c>
      <c r="S9" s="404">
        <f t="shared" si="5"/>
        <v>85.655684384687106</v>
      </c>
      <c r="T9" s="404">
        <f t="shared" si="6"/>
        <v>89.606905790332064</v>
      </c>
      <c r="U9" s="404">
        <f t="shared" ref="U9:U30" si="15">T9+T9*$T$39</f>
        <v>93.740393565203746</v>
      </c>
      <c r="W9" s="277">
        <v>2</v>
      </c>
      <c r="X9" s="278" t="s">
        <v>140</v>
      </c>
      <c r="Y9" s="403">
        <f t="shared" si="7"/>
        <v>98.064555496652062</v>
      </c>
      <c r="Z9" s="403">
        <f t="shared" si="8"/>
        <v>102.58818721586461</v>
      </c>
      <c r="AA9" s="403">
        <f t="shared" si="8"/>
        <v>107.32049008876189</v>
      </c>
      <c r="AB9" s="403">
        <f t="shared" si="8"/>
        <v>112.27108993218374</v>
      </c>
      <c r="AC9" s="403">
        <f t="shared" si="8"/>
        <v>117.45005659343711</v>
      </c>
      <c r="AE9" s="403">
        <f t="shared" si="9"/>
        <v>81.68938399999999</v>
      </c>
      <c r="AF9" s="403">
        <f t="shared" si="10"/>
        <v>86.472578224687098</v>
      </c>
      <c r="AG9" s="403">
        <f t="shared" si="11"/>
        <v>91.326208007142668</v>
      </c>
      <c r="AH9" s="403">
        <f t="shared" si="12"/>
        <v>96.452267761605412</v>
      </c>
      <c r="AJ9" s="277">
        <v>2</v>
      </c>
      <c r="AK9" s="278" t="s">
        <v>140</v>
      </c>
      <c r="AL9" s="403">
        <f>AH9*$AF$40+AH9+IFERROR(VLOOKUP(AK9,'Proposed Employee Salaries'!$AE$5:$AF$12,2,0)/10^5,0)</f>
        <v>117.66569814903227</v>
      </c>
      <c r="AM9" s="403">
        <f>AL9*$T$40+AL9+IFERROR(VLOOKUP(AK9,'Proposed Employee Salaries'!$AJ$30:$AK$37,2,0),0)/10^5</f>
        <v>129.43980383444372</v>
      </c>
      <c r="AN9" s="403">
        <f t="shared" si="13"/>
        <v>135.4107481719636</v>
      </c>
      <c r="AO9" s="403">
        <f t="shared" si="13"/>
        <v>141.65712692166292</v>
      </c>
      <c r="AP9" s="403">
        <f t="shared" si="13"/>
        <v>148.19164563079255</v>
      </c>
      <c r="AQ9" s="471"/>
      <c r="AR9" s="471"/>
    </row>
    <row r="10" spans="1:44">
      <c r="A10" s="277">
        <v>3</v>
      </c>
      <c r="B10" s="279" t="s">
        <v>141</v>
      </c>
      <c r="C10" s="405">
        <v>5273191</v>
      </c>
      <c r="D10" s="405">
        <v>5043413</v>
      </c>
      <c r="E10" s="405">
        <v>5942637</v>
      </c>
      <c r="F10" s="406">
        <v>7008070</v>
      </c>
      <c r="G10" s="410">
        <v>6298062</v>
      </c>
      <c r="H10" s="413" t="s">
        <v>139</v>
      </c>
      <c r="J10" s="277">
        <v>3</v>
      </c>
      <c r="K10" s="279" t="s">
        <v>141</v>
      </c>
      <c r="L10" s="405">
        <f t="shared" si="14"/>
        <v>52.731909999999999</v>
      </c>
      <c r="M10" s="405">
        <f t="shared" si="0"/>
        <v>50.434130000000003</v>
      </c>
      <c r="N10" s="405">
        <f t="shared" si="1"/>
        <v>59.426369999999999</v>
      </c>
      <c r="O10" s="406">
        <f t="shared" si="2"/>
        <v>70.080699999999993</v>
      </c>
      <c r="P10" s="406">
        <f t="shared" si="3"/>
        <v>62.980620000000002</v>
      </c>
      <c r="R10" s="404">
        <f t="shared" si="4"/>
        <v>59.130746000000002</v>
      </c>
      <c r="S10" s="404">
        <f t="shared" si="5"/>
        <v>62.001746968824001</v>
      </c>
      <c r="T10" s="404">
        <f t="shared" si="6"/>
        <v>64.861833039823821</v>
      </c>
      <c r="U10" s="404">
        <f t="shared" si="15"/>
        <v>67.853852366472708</v>
      </c>
      <c r="W10" s="277">
        <v>3</v>
      </c>
      <c r="X10" s="279" t="s">
        <v>141</v>
      </c>
      <c r="Y10" s="403">
        <f t="shared" si="7"/>
        <v>70.983890913847972</v>
      </c>
      <c r="Z10" s="403">
        <f t="shared" si="8"/>
        <v>74.258315387244664</v>
      </c>
      <c r="AA10" s="403">
        <f t="shared" si="8"/>
        <v>77.683786182475032</v>
      </c>
      <c r="AB10" s="403">
        <f t="shared" si="8"/>
        <v>81.267270933553789</v>
      </c>
      <c r="AC10" s="403">
        <f t="shared" si="8"/>
        <v>85.016058685326286</v>
      </c>
      <c r="AE10" s="403">
        <f t="shared" si="9"/>
        <v>59.130746000000002</v>
      </c>
      <c r="AF10" s="403">
        <f t="shared" si="10"/>
        <v>62.593054428824004</v>
      </c>
      <c r="AG10" s="403">
        <f t="shared" si="11"/>
        <v>66.106347537319166</v>
      </c>
      <c r="AH10" s="403">
        <f t="shared" si="12"/>
        <v>69.816838698838495</v>
      </c>
      <c r="AJ10" s="277">
        <v>3</v>
      </c>
      <c r="AK10" s="279" t="s">
        <v>141</v>
      </c>
      <c r="AL10" s="403">
        <f>AH10*$AF$40+AH10+IFERROR(VLOOKUP(AK10,'Proposed Employee Salaries'!$AE$5:$AF$12,2,0)/10^5,0)</f>
        <v>82.090039996700895</v>
      </c>
      <c r="AM10" s="403">
        <f>AL10*$T$40+AL10+IFERROR(VLOOKUP(AK10,'Proposed Employee Salaries'!$AJ$30:$AK$37,2,0),0)/10^5</f>
        <v>89.303778226766866</v>
      </c>
      <c r="AN10" s="403">
        <f t="shared" si="13"/>
        <v>93.423282993664202</v>
      </c>
      <c r="AO10" s="403">
        <f t="shared" si="13"/>
        <v>97.732816893275242</v>
      </c>
      <c r="AP10" s="403">
        <f t="shared" si="13"/>
        <v>102.24114580240393</v>
      </c>
      <c r="AQ10" s="471"/>
      <c r="AR10" s="471"/>
    </row>
    <row r="11" spans="1:44">
      <c r="A11" s="277">
        <v>4</v>
      </c>
      <c r="B11" s="278" t="s">
        <v>142</v>
      </c>
      <c r="C11" s="405">
        <v>236528</v>
      </c>
      <c r="D11" s="405">
        <v>142722</v>
      </c>
      <c r="E11" s="405">
        <v>178649</v>
      </c>
      <c r="F11" s="406">
        <v>245103</v>
      </c>
      <c r="G11" s="410">
        <v>148008</v>
      </c>
      <c r="H11" s="413" t="s">
        <v>139</v>
      </c>
      <c r="J11" s="277">
        <v>4</v>
      </c>
      <c r="K11" s="278" t="s">
        <v>142</v>
      </c>
      <c r="L11" s="405">
        <f t="shared" si="14"/>
        <v>2.3652799999999998</v>
      </c>
      <c r="M11" s="405">
        <f t="shared" si="0"/>
        <v>1.4272199999999999</v>
      </c>
      <c r="N11" s="405">
        <f t="shared" si="1"/>
        <v>1.7864899999999999</v>
      </c>
      <c r="O11" s="406">
        <f t="shared" si="2"/>
        <v>2.4510299999999998</v>
      </c>
      <c r="P11" s="406">
        <f t="shared" si="3"/>
        <v>1.4800800000000001</v>
      </c>
      <c r="R11" s="404">
        <f t="shared" si="4"/>
        <v>1.9020199999999996</v>
      </c>
      <c r="S11" s="404">
        <f t="shared" si="5"/>
        <v>1.9943696088265588</v>
      </c>
      <c r="T11" s="404">
        <f t="shared" si="6"/>
        <v>2.0863681252796247</v>
      </c>
      <c r="U11" s="404">
        <f t="shared" si="15"/>
        <v>2.1826104524045475</v>
      </c>
      <c r="W11" s="277">
        <v>4</v>
      </c>
      <c r="X11" s="278" t="s">
        <v>142</v>
      </c>
      <c r="Y11" s="403">
        <f t="shared" si="7"/>
        <v>2.2832923534561376</v>
      </c>
      <c r="Z11" s="403">
        <f t="shared" si="8"/>
        <v>2.3886186220760193</v>
      </c>
      <c r="AA11" s="403">
        <f t="shared" si="8"/>
        <v>2.4988034988564349</v>
      </c>
      <c r="AB11" s="403">
        <f t="shared" si="8"/>
        <v>2.6140711071197709</v>
      </c>
      <c r="AC11" s="403">
        <f t="shared" si="8"/>
        <v>2.7346559088002085</v>
      </c>
      <c r="AE11" s="403">
        <f t="shared" si="9"/>
        <v>1.9020199999999996</v>
      </c>
      <c r="AF11" s="403">
        <f t="shared" si="10"/>
        <v>2.0133898088265587</v>
      </c>
      <c r="AG11" s="403">
        <f t="shared" si="11"/>
        <v>2.1263996084698777</v>
      </c>
      <c r="AH11" s="403">
        <f t="shared" si="12"/>
        <v>2.2457525488003278</v>
      </c>
      <c r="AJ11" s="277">
        <v>4</v>
      </c>
      <c r="AK11" s="278" t="s">
        <v>142</v>
      </c>
      <c r="AL11" s="403">
        <f>AH11*$AF$40+AH11+IFERROR(VLOOKUP(AK11,'Proposed Employee Salaries'!$AE$5:$AF$12,2,0)/10^5,0)</f>
        <v>2.6422632930419128</v>
      </c>
      <c r="AM11" s="403">
        <f>AL11*$T$40+AL11+IFERROR(VLOOKUP(AK11,'Proposed Employee Salaries'!$AJ$30:$AK$37,2,0),0)/10^5</f>
        <v>2.8954749119373306</v>
      </c>
      <c r="AN11" s="403">
        <f t="shared" si="13"/>
        <v>3.0290406237022816</v>
      </c>
      <c r="AO11" s="403">
        <f t="shared" si="13"/>
        <v>3.1687676043097732</v>
      </c>
      <c r="AP11" s="403">
        <f t="shared" si="13"/>
        <v>3.3149400676740539</v>
      </c>
      <c r="AQ11" s="471"/>
      <c r="AR11" s="471"/>
    </row>
    <row r="12" spans="1:44">
      <c r="A12" s="277">
        <v>5</v>
      </c>
      <c r="B12" s="278" t="s">
        <v>143</v>
      </c>
      <c r="C12" s="405">
        <v>23776</v>
      </c>
      <c r="D12" s="405">
        <v>5196</v>
      </c>
      <c r="E12" s="405">
        <v>26672</v>
      </c>
      <c r="F12" s="405">
        <v>0</v>
      </c>
      <c r="G12" s="410">
        <v>49937</v>
      </c>
      <c r="H12" s="413" t="s">
        <v>144</v>
      </c>
      <c r="J12" s="277">
        <v>5</v>
      </c>
      <c r="K12" s="278" t="s">
        <v>143</v>
      </c>
      <c r="L12" s="405">
        <f t="shared" si="14"/>
        <v>0.23776</v>
      </c>
      <c r="M12" s="405">
        <f t="shared" si="0"/>
        <v>5.1959999999999999E-2</v>
      </c>
      <c r="N12" s="405">
        <f t="shared" si="1"/>
        <v>0.26672000000000001</v>
      </c>
      <c r="O12" s="405">
        <f t="shared" si="2"/>
        <v>0</v>
      </c>
      <c r="P12" s="406">
        <f t="shared" si="3"/>
        <v>0.49936999999999998</v>
      </c>
      <c r="R12" s="404">
        <f t="shared" si="4"/>
        <v>0.21116200000000002</v>
      </c>
      <c r="S12" s="404">
        <f t="shared" si="5"/>
        <v>0.22141464092860955</v>
      </c>
      <c r="T12" s="404">
        <f t="shared" si="6"/>
        <v>0.23162830362998088</v>
      </c>
      <c r="U12" s="404">
        <f t="shared" si="15"/>
        <v>0.24231311361113406</v>
      </c>
      <c r="W12" s="277">
        <v>5</v>
      </c>
      <c r="X12" s="278" t="s">
        <v>143</v>
      </c>
      <c r="Y12" s="403">
        <f t="shared" si="7"/>
        <v>0.25349080448181671</v>
      </c>
      <c r="Z12" s="403">
        <f t="shared" si="8"/>
        <v>0.26518411240408435</v>
      </c>
      <c r="AA12" s="403">
        <f t="shared" si="8"/>
        <v>0.27741682233915665</v>
      </c>
      <c r="AB12" s="403">
        <f t="shared" si="8"/>
        <v>0.29021381642760086</v>
      </c>
      <c r="AC12" s="403">
        <f t="shared" si="8"/>
        <v>0.30360112460125022</v>
      </c>
      <c r="AE12" s="403">
        <f t="shared" si="9"/>
        <v>0.21116200000000002</v>
      </c>
      <c r="AF12" s="403">
        <f t="shared" si="10"/>
        <v>0.22352626092860953</v>
      </c>
      <c r="AG12" s="403">
        <f t="shared" si="11"/>
        <v>0.23607259341316936</v>
      </c>
      <c r="AH12" s="403">
        <f t="shared" si="12"/>
        <v>0.24932314050839366</v>
      </c>
      <c r="AJ12" s="277">
        <v>5</v>
      </c>
      <c r="AK12" s="278" t="s">
        <v>143</v>
      </c>
      <c r="AL12" s="403">
        <f>AH12*$AF$40+AH12+IFERROR(VLOOKUP(AK12,'Proposed Employee Salaries'!$AE$5:$AF$12,2,0)/10^5,0)</f>
        <v>0.26082419775609578</v>
      </c>
      <c r="AM12" s="403">
        <f>AL12*$T$40+AL12+IFERROR(VLOOKUP(AK12,'Proposed Employee Salaries'!$AJ$30:$AK$37,2,0),0)/10^5</f>
        <v>0.27285578866202637</v>
      </c>
      <c r="AN12" s="403">
        <f t="shared" si="13"/>
        <v>0.28544238627735374</v>
      </c>
      <c r="AO12" s="403">
        <f t="shared" si="13"/>
        <v>0.29860959257357811</v>
      </c>
      <c r="AP12" s="403">
        <f t="shared" si="13"/>
        <v>0.3123841905186337</v>
      </c>
      <c r="AQ12" s="471"/>
      <c r="AR12" s="471"/>
    </row>
    <row r="13" spans="1:44">
      <c r="A13" s="277">
        <v>6</v>
      </c>
      <c r="B13" s="279" t="s">
        <v>145</v>
      </c>
      <c r="C13" s="405">
        <v>463651</v>
      </c>
      <c r="D13" s="405">
        <v>687454</v>
      </c>
      <c r="E13" s="405">
        <v>918398</v>
      </c>
      <c r="F13" s="405">
        <v>909960</v>
      </c>
      <c r="G13" s="410">
        <v>1259184</v>
      </c>
      <c r="H13" s="413" t="s">
        <v>139</v>
      </c>
      <c r="J13" s="277">
        <v>6</v>
      </c>
      <c r="K13" s="279" t="s">
        <v>145</v>
      </c>
      <c r="L13" s="405">
        <f t="shared" si="14"/>
        <v>4.6365100000000004</v>
      </c>
      <c r="M13" s="405">
        <f t="shared" si="0"/>
        <v>6.8745399999999997</v>
      </c>
      <c r="N13" s="405">
        <f t="shared" si="1"/>
        <v>9.18398</v>
      </c>
      <c r="O13" s="405">
        <f t="shared" si="2"/>
        <v>9.0996000000000006</v>
      </c>
      <c r="P13" s="406">
        <f t="shared" si="3"/>
        <v>12.591839999999999</v>
      </c>
      <c r="R13" s="404">
        <f t="shared" si="4"/>
        <v>8.4772940000000006</v>
      </c>
      <c r="S13" s="404">
        <f t="shared" si="5"/>
        <v>8.8888957627615568</v>
      </c>
      <c r="T13" s="404">
        <f t="shared" si="6"/>
        <v>9.2989327085016011</v>
      </c>
      <c r="U13" s="404">
        <f t="shared" si="15"/>
        <v>9.7278842980128299</v>
      </c>
      <c r="W13" s="277">
        <v>6</v>
      </c>
      <c r="X13" s="279" t="s">
        <v>145</v>
      </c>
      <c r="Y13" s="403">
        <f t="shared" si="7"/>
        <v>10.176623047181208</v>
      </c>
      <c r="Z13" s="403">
        <f t="shared" si="8"/>
        <v>10.646061720283337</v>
      </c>
      <c r="AA13" s="403">
        <f t="shared" si="8"/>
        <v>11.137155186609327</v>
      </c>
      <c r="AB13" s="403">
        <f t="shared" si="8"/>
        <v>11.650902362730045</v>
      </c>
      <c r="AC13" s="403">
        <f t="shared" si="8"/>
        <v>12.188348244359453</v>
      </c>
      <c r="AE13" s="403">
        <f t="shared" si="9"/>
        <v>8.4772940000000006</v>
      </c>
      <c r="AF13" s="403">
        <f t="shared" si="10"/>
        <v>8.9736687027615574</v>
      </c>
      <c r="AG13" s="403">
        <f t="shared" si="11"/>
        <v>9.4773528367125728</v>
      </c>
      <c r="AH13" s="403">
        <f t="shared" si="12"/>
        <v>10.009308318224694</v>
      </c>
      <c r="AJ13" s="277">
        <v>6</v>
      </c>
      <c r="AK13" s="279" t="s">
        <v>145</v>
      </c>
      <c r="AL13" s="403">
        <f>AH13*$AF$40+AH13+IFERROR(VLOOKUP(AK13,'Proposed Employee Salaries'!$AE$5:$AF$12,2,0)/10^5,0)</f>
        <v>10.471028909995949</v>
      </c>
      <c r="AM13" s="403">
        <f>AL13*$T$40+AL13+IFERROR(VLOOKUP(AK13,'Proposed Employee Salaries'!$AJ$30:$AK$37,2,0),0)/10^5</f>
        <v>10.954048266685598</v>
      </c>
      <c r="AN13" s="403">
        <f t="shared" si="13"/>
        <v>11.459348881591827</v>
      </c>
      <c r="AO13" s="403">
        <f t="shared" si="13"/>
        <v>11.987958569564782</v>
      </c>
      <c r="AP13" s="403">
        <f t="shared" si="13"/>
        <v>12.540952557649913</v>
      </c>
      <c r="AQ13" s="471"/>
      <c r="AR13" s="471"/>
    </row>
    <row r="14" spans="1:44">
      <c r="A14" s="277">
        <v>7</v>
      </c>
      <c r="B14" s="278" t="s">
        <v>146</v>
      </c>
      <c r="C14" s="405">
        <v>2593420</v>
      </c>
      <c r="D14" s="405">
        <v>2422777</v>
      </c>
      <c r="E14" s="405">
        <v>2610327</v>
      </c>
      <c r="F14" s="405">
        <v>2846267</v>
      </c>
      <c r="G14" s="410">
        <v>2262335</v>
      </c>
      <c r="H14" s="413" t="s">
        <v>147</v>
      </c>
      <c r="J14" s="277">
        <v>7</v>
      </c>
      <c r="K14" s="278" t="s">
        <v>146</v>
      </c>
      <c r="L14" s="405">
        <f t="shared" si="14"/>
        <v>25.934200000000001</v>
      </c>
      <c r="M14" s="405">
        <f t="shared" si="0"/>
        <v>24.22777</v>
      </c>
      <c r="N14" s="405">
        <f t="shared" si="1"/>
        <v>26.103269999999998</v>
      </c>
      <c r="O14" s="405">
        <f t="shared" si="2"/>
        <v>28.462669999999999</v>
      </c>
      <c r="P14" s="406">
        <f t="shared" si="3"/>
        <v>22.623349999999999</v>
      </c>
      <c r="R14" s="404">
        <f t="shared" si="4"/>
        <v>25.470251999999999</v>
      </c>
      <c r="S14" s="404">
        <f t="shared" si="5"/>
        <v>26.706920283674137</v>
      </c>
      <c r="T14" s="404">
        <f t="shared" si="6"/>
        <v>27.938887033595663</v>
      </c>
      <c r="U14" s="404">
        <f t="shared" si="15"/>
        <v>29.227683326451796</v>
      </c>
      <c r="W14" s="277">
        <v>7</v>
      </c>
      <c r="X14" s="278" t="s">
        <v>146</v>
      </c>
      <c r="Y14" s="403">
        <f t="shared" si="7"/>
        <v>30.575930659089234</v>
      </c>
      <c r="Z14" s="403">
        <f t="shared" si="8"/>
        <v>31.986371455699196</v>
      </c>
      <c r="AA14" s="403">
        <f t="shared" si="8"/>
        <v>33.461874646089484</v>
      </c>
      <c r="AB14" s="403">
        <f t="shared" si="8"/>
        <v>35.005441501277367</v>
      </c>
      <c r="AC14" s="403">
        <f t="shared" si="8"/>
        <v>36.620211738273177</v>
      </c>
      <c r="AE14" s="403">
        <f t="shared" si="9"/>
        <v>25.470251999999999</v>
      </c>
      <c r="AF14" s="403">
        <f t="shared" si="10"/>
        <v>26.961622803674135</v>
      </c>
      <c r="AG14" s="403">
        <f t="shared" si="11"/>
        <v>28.474954984926089</v>
      </c>
      <c r="AH14" s="403">
        <f t="shared" si="12"/>
        <v>30.073229170874463</v>
      </c>
      <c r="AJ14" s="277">
        <v>7</v>
      </c>
      <c r="AK14" s="278" t="s">
        <v>146</v>
      </c>
      <c r="AL14" s="403">
        <f>AH14*$AF$40+AH14+IFERROR(VLOOKUP(AK14,'Proposed Employee Salaries'!$AE$5:$AF$12,2,0)/10^5,0)</f>
        <v>45.061153181918286</v>
      </c>
      <c r="AM14" s="403">
        <f>AL14*$T$40+AL14+IFERROR(VLOOKUP(AK14,'Proposed Employee Salaries'!$AJ$30:$AK$37,2,0),0)/10^5</f>
        <v>48.032037574672557</v>
      </c>
      <c r="AN14" s="403">
        <f t="shared" si="13"/>
        <v>50.247713234555761</v>
      </c>
      <c r="AO14" s="403">
        <f t="shared" si="13"/>
        <v>52.56559606443809</v>
      </c>
      <c r="AP14" s="403">
        <f t="shared" si="13"/>
        <v>54.990400791203257</v>
      </c>
      <c r="AQ14" s="471"/>
      <c r="AR14" s="471"/>
    </row>
    <row r="15" spans="1:44">
      <c r="A15" s="277">
        <v>8</v>
      </c>
      <c r="B15" s="278" t="s">
        <v>148</v>
      </c>
      <c r="C15" s="405">
        <v>298775.9992085477</v>
      </c>
      <c r="D15" s="405">
        <v>446370.00051647553</v>
      </c>
      <c r="E15" s="405">
        <v>461864</v>
      </c>
      <c r="F15" s="405">
        <v>591420.19935548387</v>
      </c>
      <c r="G15" s="410">
        <v>639135.00169587333</v>
      </c>
      <c r="H15" s="413" t="s">
        <v>149</v>
      </c>
      <c r="J15" s="277">
        <v>8</v>
      </c>
      <c r="K15" s="278" t="s">
        <v>148</v>
      </c>
      <c r="L15" s="405">
        <f t="shared" si="14"/>
        <v>2.9877599920854769</v>
      </c>
      <c r="M15" s="405">
        <f t="shared" si="0"/>
        <v>4.4637000051647551</v>
      </c>
      <c r="N15" s="405">
        <f t="shared" si="1"/>
        <v>4.6186400000000001</v>
      </c>
      <c r="O15" s="405">
        <f t="shared" si="2"/>
        <v>5.9142019935548387</v>
      </c>
      <c r="P15" s="406">
        <f t="shared" si="3"/>
        <v>6.3913500169587332</v>
      </c>
      <c r="R15" s="404">
        <f t="shared" si="4"/>
        <v>4.8751304015527612</v>
      </c>
      <c r="S15" s="404">
        <f t="shared" si="5"/>
        <v>5.1118347398677439</v>
      </c>
      <c r="T15" s="404">
        <f t="shared" si="6"/>
        <v>5.3476391817022639</v>
      </c>
      <c r="U15" s="404">
        <f t="shared" si="15"/>
        <v>5.594321075101333</v>
      </c>
      <c r="W15" s="277">
        <v>8</v>
      </c>
      <c r="X15" s="278" t="s">
        <v>148</v>
      </c>
      <c r="Y15" s="403">
        <f t="shared" si="7"/>
        <v>5.8523821873413375</v>
      </c>
      <c r="Z15" s="403">
        <f t="shared" si="8"/>
        <v>6.1223474317819306</v>
      </c>
      <c r="AA15" s="403">
        <f t="shared" si="8"/>
        <v>6.4047659355745044</v>
      </c>
      <c r="AB15" s="403">
        <f t="shared" si="8"/>
        <v>6.7002121566231079</v>
      </c>
      <c r="AC15" s="403">
        <f t="shared" si="8"/>
        <v>7.0092870520697979</v>
      </c>
      <c r="AE15" s="403">
        <f t="shared" si="9"/>
        <v>4.8751304015527612</v>
      </c>
      <c r="AF15" s="403">
        <f t="shared" si="10"/>
        <v>5.1605860438832716</v>
      </c>
      <c r="AG15" s="403">
        <f t="shared" si="11"/>
        <v>5.4502452009449902</v>
      </c>
      <c r="AH15" s="403">
        <f t="shared" si="12"/>
        <v>5.7561626718021266</v>
      </c>
      <c r="AJ15" s="277">
        <v>8</v>
      </c>
      <c r="AK15" s="278" t="s">
        <v>148</v>
      </c>
      <c r="AL15" s="403">
        <f>AH15*$AF$40+AH15+IFERROR(VLOOKUP(AK15,'Proposed Employee Salaries'!$AE$5:$AF$12,2,0)/10^5,0)</f>
        <v>6.0216893945944445</v>
      </c>
      <c r="AM15" s="403">
        <f>AL15*$T$40+AL15+IFERROR(VLOOKUP(AK15,'Proposed Employee Salaries'!$AJ$30:$AK$37,2,0),0)/10^5</f>
        <v>6.299464631637794</v>
      </c>
      <c r="AN15" s="403">
        <f t="shared" si="13"/>
        <v>6.5900533961247465</v>
      </c>
      <c r="AO15" s="403">
        <f t="shared" si="13"/>
        <v>6.8940467648096435</v>
      </c>
      <c r="AP15" s="403">
        <f t="shared" si="13"/>
        <v>7.2120630802977841</v>
      </c>
      <c r="AQ15" s="471"/>
      <c r="AR15" s="471"/>
    </row>
    <row r="16" spans="1:44">
      <c r="A16" s="277">
        <v>9</v>
      </c>
      <c r="B16" s="278" t="s">
        <v>150</v>
      </c>
      <c r="C16" s="406">
        <v>0</v>
      </c>
      <c r="D16" s="406">
        <v>0</v>
      </c>
      <c r="E16" s="406">
        <v>0</v>
      </c>
      <c r="F16" s="406">
        <v>0</v>
      </c>
      <c r="G16" s="410">
        <v>0</v>
      </c>
      <c r="H16" s="413" t="s">
        <v>151</v>
      </c>
      <c r="J16" s="277">
        <v>9</v>
      </c>
      <c r="K16" s="278" t="s">
        <v>150</v>
      </c>
      <c r="L16" s="406">
        <f t="shared" si="14"/>
        <v>0</v>
      </c>
      <c r="M16" s="406">
        <f t="shared" si="0"/>
        <v>0</v>
      </c>
      <c r="N16" s="406">
        <f t="shared" si="1"/>
        <v>0</v>
      </c>
      <c r="O16" s="406">
        <f t="shared" si="2"/>
        <v>0</v>
      </c>
      <c r="P16" s="406">
        <f t="shared" si="3"/>
        <v>0</v>
      </c>
      <c r="R16" s="404">
        <f t="shared" si="4"/>
        <v>0</v>
      </c>
      <c r="S16" s="404">
        <f t="shared" si="5"/>
        <v>0</v>
      </c>
      <c r="T16" s="404">
        <f t="shared" si="6"/>
        <v>0</v>
      </c>
      <c r="U16" s="404">
        <f t="shared" si="15"/>
        <v>0</v>
      </c>
      <c r="W16" s="277">
        <v>9</v>
      </c>
      <c r="X16" s="278" t="s">
        <v>150</v>
      </c>
      <c r="Y16" s="403">
        <f t="shared" si="7"/>
        <v>0</v>
      </c>
      <c r="Z16" s="403">
        <f t="shared" si="8"/>
        <v>0</v>
      </c>
      <c r="AA16" s="403">
        <f t="shared" si="8"/>
        <v>0</v>
      </c>
      <c r="AB16" s="403">
        <f t="shared" si="8"/>
        <v>0</v>
      </c>
      <c r="AC16" s="403">
        <f t="shared" si="8"/>
        <v>0</v>
      </c>
      <c r="AE16" s="403">
        <f t="shared" si="9"/>
        <v>0</v>
      </c>
      <c r="AF16" s="403">
        <f t="shared" si="10"/>
        <v>0</v>
      </c>
      <c r="AG16" s="403">
        <f t="shared" si="11"/>
        <v>0</v>
      </c>
      <c r="AH16" s="403">
        <f t="shared" si="12"/>
        <v>0</v>
      </c>
      <c r="AJ16" s="277">
        <v>9</v>
      </c>
      <c r="AK16" s="278" t="s">
        <v>150</v>
      </c>
      <c r="AL16" s="403">
        <f>AH16*$AF$40+AH16+IFERROR(VLOOKUP(AK16,'Proposed Employee Salaries'!$AE$5:$AF$12,2,0)/10^5,0)</f>
        <v>0</v>
      </c>
      <c r="AM16" s="403">
        <f>AL16*$T$40+AL16+IFERROR(VLOOKUP(AK16,'Proposed Employee Salaries'!$AJ$30:$AK$37,2,0),0)/10^5</f>
        <v>0</v>
      </c>
      <c r="AN16" s="403">
        <f t="shared" si="13"/>
        <v>0</v>
      </c>
      <c r="AO16" s="403">
        <f t="shared" si="13"/>
        <v>0</v>
      </c>
      <c r="AP16" s="403">
        <f t="shared" si="13"/>
        <v>0</v>
      </c>
      <c r="AQ16" s="471"/>
      <c r="AR16" s="471"/>
    </row>
    <row r="17" spans="1:44">
      <c r="A17" s="277">
        <v>10</v>
      </c>
      <c r="B17" s="278" t="s">
        <v>152</v>
      </c>
      <c r="C17" s="406">
        <v>370275</v>
      </c>
      <c r="D17" s="406">
        <v>264000</v>
      </c>
      <c r="E17" s="406">
        <v>285403</v>
      </c>
      <c r="F17" s="406">
        <v>383783</v>
      </c>
      <c r="G17" s="410">
        <v>443149</v>
      </c>
      <c r="H17" s="413" t="s">
        <v>139</v>
      </c>
      <c r="J17" s="277">
        <v>10</v>
      </c>
      <c r="K17" s="278" t="s">
        <v>152</v>
      </c>
      <c r="L17" s="406">
        <f t="shared" si="14"/>
        <v>3.70275</v>
      </c>
      <c r="M17" s="406">
        <f t="shared" si="0"/>
        <v>2.64</v>
      </c>
      <c r="N17" s="406">
        <f t="shared" si="1"/>
        <v>2.8540299999999998</v>
      </c>
      <c r="O17" s="406">
        <f t="shared" si="2"/>
        <v>3.8378299999999999</v>
      </c>
      <c r="P17" s="406">
        <f t="shared" si="3"/>
        <v>4.4314900000000002</v>
      </c>
      <c r="R17" s="404">
        <f t="shared" si="4"/>
        <v>3.49322</v>
      </c>
      <c r="S17" s="404">
        <f t="shared" si="5"/>
        <v>3.6628278382693731</v>
      </c>
      <c r="T17" s="404">
        <f t="shared" si="6"/>
        <v>3.8317908658107132</v>
      </c>
      <c r="U17" s="404">
        <f t="shared" si="15"/>
        <v>4.0085480092473347</v>
      </c>
      <c r="W17" s="277">
        <v>10</v>
      </c>
      <c r="X17" s="278" t="s">
        <v>152</v>
      </c>
      <c r="Y17" s="403">
        <f t="shared" si="7"/>
        <v>4.1934588042923053</v>
      </c>
      <c r="Z17" s="403">
        <f t="shared" si="8"/>
        <v>4.3868993717250051</v>
      </c>
      <c r="AA17" s="403">
        <f t="shared" si="8"/>
        <v>4.5892631824456513</v>
      </c>
      <c r="AB17" s="403">
        <f t="shared" si="8"/>
        <v>4.8009618578211208</v>
      </c>
      <c r="AC17" s="403">
        <f t="shared" si="8"/>
        <v>5.0224260069500151</v>
      </c>
      <c r="AE17" s="403">
        <f t="shared" si="9"/>
        <v>3.49322</v>
      </c>
      <c r="AF17" s="403">
        <f t="shared" si="10"/>
        <v>3.6977600382693732</v>
      </c>
      <c r="AG17" s="403">
        <f t="shared" si="11"/>
        <v>3.9053120578643483</v>
      </c>
      <c r="AH17" s="403">
        <f t="shared" si="12"/>
        <v>4.1245137898235997</v>
      </c>
      <c r="AJ17" s="277">
        <v>10</v>
      </c>
      <c r="AK17" s="278" t="s">
        <v>152</v>
      </c>
      <c r="AL17" s="403">
        <f>AH17*$AF$40+AH17+IFERROR(VLOOKUP(AK17,'Proposed Employee Salaries'!$AE$5:$AF$12,2,0)/10^5,0)</f>
        <v>4.3147739843605812</v>
      </c>
      <c r="AM17" s="403">
        <f>AL17*$T$40+AL17+IFERROR(VLOOKUP(AK17,'Proposed Employee Salaries'!$AJ$30:$AK$37,2,0),0)/10^5</f>
        <v>4.5138107143802566</v>
      </c>
      <c r="AN17" s="403">
        <f t="shared" si="13"/>
        <v>4.7220288337474434</v>
      </c>
      <c r="AO17" s="403">
        <f t="shared" si="13"/>
        <v>4.939851871879763</v>
      </c>
      <c r="AP17" s="403">
        <f t="shared" si="13"/>
        <v>5.1677228952344727</v>
      </c>
      <c r="AQ17" s="471"/>
      <c r="AR17" s="471"/>
    </row>
    <row r="18" spans="1:44">
      <c r="A18" s="277">
        <v>11</v>
      </c>
      <c r="B18" s="278" t="s">
        <v>153</v>
      </c>
      <c r="C18" s="406">
        <v>0</v>
      </c>
      <c r="D18" s="406">
        <v>0</v>
      </c>
      <c r="E18" s="406">
        <v>0</v>
      </c>
      <c r="F18" s="406">
        <v>0</v>
      </c>
      <c r="G18" s="410">
        <v>0</v>
      </c>
      <c r="H18" s="413" t="s">
        <v>154</v>
      </c>
      <c r="J18" s="277">
        <v>11</v>
      </c>
      <c r="K18" s="278" t="s">
        <v>153</v>
      </c>
      <c r="L18" s="406">
        <f t="shared" si="14"/>
        <v>0</v>
      </c>
      <c r="M18" s="406">
        <f t="shared" si="0"/>
        <v>0</v>
      </c>
      <c r="N18" s="406">
        <f t="shared" si="1"/>
        <v>0</v>
      </c>
      <c r="O18" s="406">
        <f t="shared" si="2"/>
        <v>0</v>
      </c>
      <c r="P18" s="406">
        <f t="shared" si="3"/>
        <v>0</v>
      </c>
      <c r="R18" s="404">
        <f t="shared" si="4"/>
        <v>0</v>
      </c>
      <c r="S18" s="404">
        <f t="shared" si="5"/>
        <v>0</v>
      </c>
      <c r="T18" s="404">
        <f t="shared" si="6"/>
        <v>0</v>
      </c>
      <c r="U18" s="404">
        <f t="shared" si="15"/>
        <v>0</v>
      </c>
      <c r="W18" s="277">
        <v>11</v>
      </c>
      <c r="X18" s="278" t="s">
        <v>153</v>
      </c>
      <c r="Y18" s="403">
        <f t="shared" si="7"/>
        <v>0</v>
      </c>
      <c r="Z18" s="403">
        <f t="shared" si="8"/>
        <v>0</v>
      </c>
      <c r="AA18" s="403">
        <f t="shared" si="8"/>
        <v>0</v>
      </c>
      <c r="AB18" s="403">
        <f t="shared" si="8"/>
        <v>0</v>
      </c>
      <c r="AC18" s="403">
        <f t="shared" si="8"/>
        <v>0</v>
      </c>
      <c r="AE18" s="403">
        <f t="shared" si="9"/>
        <v>0</v>
      </c>
      <c r="AF18" s="403">
        <f t="shared" si="10"/>
        <v>0</v>
      </c>
      <c r="AG18" s="403">
        <f t="shared" si="11"/>
        <v>0</v>
      </c>
      <c r="AH18" s="403">
        <f t="shared" si="12"/>
        <v>0</v>
      </c>
      <c r="AJ18" s="277">
        <v>11</v>
      </c>
      <c r="AK18" s="278" t="s">
        <v>153</v>
      </c>
      <c r="AL18" s="403">
        <f>AH18*$AF$40+AH18+IFERROR(VLOOKUP(AK18,'Proposed Employee Salaries'!$AE$5:$AF$12,2,0)/10^5,0)</f>
        <v>0</v>
      </c>
      <c r="AM18" s="403">
        <f>AL18*$T$40+AL18+IFERROR(VLOOKUP(AK18,'Proposed Employee Salaries'!$AJ$30:$AK$37,2,0),0)/10^5</f>
        <v>0</v>
      </c>
      <c r="AN18" s="403">
        <f t="shared" si="13"/>
        <v>0</v>
      </c>
      <c r="AO18" s="403">
        <f t="shared" si="13"/>
        <v>0</v>
      </c>
      <c r="AP18" s="403">
        <f t="shared" si="13"/>
        <v>0</v>
      </c>
      <c r="AQ18" s="471"/>
      <c r="AR18" s="471"/>
    </row>
    <row r="19" spans="1:44">
      <c r="A19" s="277">
        <v>12</v>
      </c>
      <c r="B19" s="278" t="s">
        <v>155</v>
      </c>
      <c r="C19" s="406">
        <v>11760</v>
      </c>
      <c r="D19" s="406">
        <v>10800</v>
      </c>
      <c r="E19" s="406">
        <v>10760</v>
      </c>
      <c r="F19" s="406">
        <v>12040</v>
      </c>
      <c r="G19" s="410">
        <v>11160</v>
      </c>
      <c r="H19" s="413" t="s">
        <v>139</v>
      </c>
      <c r="J19" s="277">
        <v>12</v>
      </c>
      <c r="K19" s="278" t="s">
        <v>155</v>
      </c>
      <c r="L19" s="406">
        <f t="shared" si="14"/>
        <v>0.1176</v>
      </c>
      <c r="M19" s="406">
        <f t="shared" si="0"/>
        <v>0.108</v>
      </c>
      <c r="N19" s="406">
        <f t="shared" si="1"/>
        <v>0.1076</v>
      </c>
      <c r="O19" s="406">
        <f t="shared" si="2"/>
        <v>0.12039999999999999</v>
      </c>
      <c r="P19" s="406">
        <f t="shared" si="3"/>
        <v>0.1116</v>
      </c>
      <c r="R19" s="404">
        <f t="shared" si="4"/>
        <v>0.11304</v>
      </c>
      <c r="S19" s="404">
        <f t="shared" si="5"/>
        <v>0.11852848055317727</v>
      </c>
      <c r="T19" s="404">
        <f t="shared" si="6"/>
        <v>0.12399609514180125</v>
      </c>
      <c r="U19" s="404">
        <f t="shared" si="15"/>
        <v>0.12971592598385406</v>
      </c>
      <c r="W19" s="277">
        <v>12</v>
      </c>
      <c r="X19" s="278" t="s">
        <v>155</v>
      </c>
      <c r="Y19" s="403">
        <f t="shared" si="7"/>
        <v>0.13569960759333857</v>
      </c>
      <c r="Z19" s="403">
        <f t="shared" si="8"/>
        <v>0.14195931117415866</v>
      </c>
      <c r="AA19" s="403">
        <f t="shared" si="8"/>
        <v>0.14850776937715243</v>
      </c>
      <c r="AB19" s="403">
        <f t="shared" si="8"/>
        <v>0.15535830219914565</v>
      </c>
      <c r="AC19" s="403">
        <f t="shared" si="8"/>
        <v>0.16252484407670564</v>
      </c>
      <c r="AE19" s="403">
        <f t="shared" si="9"/>
        <v>0.11304</v>
      </c>
      <c r="AF19" s="403">
        <f t="shared" si="10"/>
        <v>0.11965888055317728</v>
      </c>
      <c r="AG19" s="403">
        <f t="shared" si="11"/>
        <v>0.12637522830539899</v>
      </c>
      <c r="AH19" s="403">
        <f t="shared" si="12"/>
        <v>0.13346855875142694</v>
      </c>
      <c r="AJ19" s="277">
        <v>12</v>
      </c>
      <c r="AK19" s="278" t="s">
        <v>155</v>
      </c>
      <c r="AL19" s="403">
        <f>AH19*$AF$40+AH19+IFERROR(VLOOKUP(AK19,'Proposed Employee Salaries'!$AE$5:$AF$12,2,0)/10^5,0)</f>
        <v>0.14757592732837765</v>
      </c>
      <c r="AM19" s="403">
        <f>AL19*$T$40+AL19+IFERROR(VLOOKUP(AK19,'Proposed Employee Salaries'!$AJ$30:$AK$37,2,0),0)/10^5</f>
        <v>0.15963652855469218</v>
      </c>
      <c r="AN19" s="403">
        <f t="shared" si="13"/>
        <v>0.16700042125229014</v>
      </c>
      <c r="AO19" s="403">
        <f t="shared" si="13"/>
        <v>0.17470400384513132</v>
      </c>
      <c r="AP19" s="403">
        <f t="shared" si="13"/>
        <v>0.18276294592940201</v>
      </c>
      <c r="AQ19" s="471"/>
      <c r="AR19" s="471"/>
    </row>
    <row r="20" spans="1:44">
      <c r="A20" s="277">
        <v>13</v>
      </c>
      <c r="B20" s="278" t="s">
        <v>156</v>
      </c>
      <c r="C20" s="406">
        <v>0</v>
      </c>
      <c r="D20" s="406">
        <v>0</v>
      </c>
      <c r="E20" s="406">
        <v>0</v>
      </c>
      <c r="F20" s="406">
        <v>0</v>
      </c>
      <c r="G20" s="410">
        <v>0</v>
      </c>
      <c r="H20" s="413" t="s">
        <v>157</v>
      </c>
      <c r="J20" s="277">
        <v>13</v>
      </c>
      <c r="K20" s="278" t="s">
        <v>156</v>
      </c>
      <c r="L20" s="406">
        <f t="shared" si="14"/>
        <v>0</v>
      </c>
      <c r="M20" s="406">
        <f t="shared" si="0"/>
        <v>0</v>
      </c>
      <c r="N20" s="406">
        <f t="shared" si="1"/>
        <v>0</v>
      </c>
      <c r="O20" s="406">
        <f t="shared" si="2"/>
        <v>0</v>
      </c>
      <c r="P20" s="406">
        <f t="shared" si="3"/>
        <v>0</v>
      </c>
      <c r="R20" s="404">
        <f t="shared" si="4"/>
        <v>0</v>
      </c>
      <c r="S20" s="404">
        <f t="shared" si="5"/>
        <v>0</v>
      </c>
      <c r="T20" s="404">
        <f t="shared" si="6"/>
        <v>0</v>
      </c>
      <c r="U20" s="404">
        <f t="shared" si="15"/>
        <v>0</v>
      </c>
      <c r="W20" s="277">
        <v>13</v>
      </c>
      <c r="X20" s="278" t="s">
        <v>156</v>
      </c>
      <c r="Y20" s="403">
        <f t="shared" si="7"/>
        <v>0</v>
      </c>
      <c r="Z20" s="403">
        <f t="shared" si="8"/>
        <v>0</v>
      </c>
      <c r="AA20" s="403">
        <f t="shared" si="8"/>
        <v>0</v>
      </c>
      <c r="AB20" s="403">
        <f t="shared" si="8"/>
        <v>0</v>
      </c>
      <c r="AC20" s="403">
        <f t="shared" si="8"/>
        <v>0</v>
      </c>
      <c r="AE20" s="403">
        <f t="shared" si="9"/>
        <v>0</v>
      </c>
      <c r="AF20" s="403">
        <f t="shared" si="10"/>
        <v>0</v>
      </c>
      <c r="AG20" s="403">
        <f t="shared" si="11"/>
        <v>0</v>
      </c>
      <c r="AH20" s="403">
        <f t="shared" si="12"/>
        <v>0</v>
      </c>
      <c r="AJ20" s="277">
        <v>13</v>
      </c>
      <c r="AK20" s="278" t="s">
        <v>156</v>
      </c>
      <c r="AL20" s="403">
        <f>AH20*$AF$40+AH20+IFERROR(VLOOKUP(AK20,'Proposed Employee Salaries'!$AE$5:$AF$12,2,0)/10^5,0)</f>
        <v>0</v>
      </c>
      <c r="AM20" s="403">
        <f>AL20*$T$40+AL20+IFERROR(VLOOKUP(AK20,'Proposed Employee Salaries'!$AJ$30:$AK$37,2,0),0)/10^5</f>
        <v>0</v>
      </c>
      <c r="AN20" s="403">
        <f t="shared" si="13"/>
        <v>0</v>
      </c>
      <c r="AO20" s="403">
        <f t="shared" si="13"/>
        <v>0</v>
      </c>
      <c r="AP20" s="403">
        <f t="shared" si="13"/>
        <v>0</v>
      </c>
      <c r="AQ20" s="471"/>
      <c r="AR20" s="471"/>
    </row>
    <row r="21" spans="1:44">
      <c r="A21" s="277">
        <v>14</v>
      </c>
      <c r="B21" s="278" t="s">
        <v>158</v>
      </c>
      <c r="C21" s="406">
        <v>0</v>
      </c>
      <c r="D21" s="406">
        <v>0</v>
      </c>
      <c r="E21" s="406">
        <v>0</v>
      </c>
      <c r="F21" s="406">
        <v>0</v>
      </c>
      <c r="G21" s="410">
        <v>0</v>
      </c>
      <c r="H21" s="413" t="s">
        <v>157</v>
      </c>
      <c r="J21" s="277">
        <v>14</v>
      </c>
      <c r="K21" s="278" t="s">
        <v>158</v>
      </c>
      <c r="L21" s="406">
        <f t="shared" si="14"/>
        <v>0</v>
      </c>
      <c r="M21" s="406">
        <f t="shared" si="0"/>
        <v>0</v>
      </c>
      <c r="N21" s="406">
        <f t="shared" si="1"/>
        <v>0</v>
      </c>
      <c r="O21" s="406">
        <f t="shared" si="2"/>
        <v>0</v>
      </c>
      <c r="P21" s="406">
        <f t="shared" si="3"/>
        <v>0</v>
      </c>
      <c r="R21" s="404">
        <f t="shared" si="4"/>
        <v>0</v>
      </c>
      <c r="S21" s="404">
        <f t="shared" si="5"/>
        <v>0</v>
      </c>
      <c r="T21" s="404">
        <f t="shared" si="6"/>
        <v>0</v>
      </c>
      <c r="U21" s="404">
        <f t="shared" si="15"/>
        <v>0</v>
      </c>
      <c r="W21" s="277">
        <v>14</v>
      </c>
      <c r="X21" s="278" t="s">
        <v>158</v>
      </c>
      <c r="Y21" s="403">
        <f t="shared" si="7"/>
        <v>0</v>
      </c>
      <c r="Z21" s="403">
        <f t="shared" si="8"/>
        <v>0</v>
      </c>
      <c r="AA21" s="403">
        <f t="shared" si="8"/>
        <v>0</v>
      </c>
      <c r="AB21" s="403">
        <f t="shared" si="8"/>
        <v>0</v>
      </c>
      <c r="AC21" s="403">
        <f t="shared" si="8"/>
        <v>0</v>
      </c>
      <c r="AE21" s="403">
        <f t="shared" si="9"/>
        <v>0</v>
      </c>
      <c r="AF21" s="403">
        <f t="shared" si="10"/>
        <v>0</v>
      </c>
      <c r="AG21" s="403">
        <f t="shared" si="11"/>
        <v>0</v>
      </c>
      <c r="AH21" s="403">
        <f t="shared" si="12"/>
        <v>0</v>
      </c>
      <c r="AJ21" s="277">
        <v>14</v>
      </c>
      <c r="AK21" s="278" t="s">
        <v>158</v>
      </c>
      <c r="AL21" s="403">
        <f>AH21*$AF$40+AH21+IFERROR(VLOOKUP(AK21,'Proposed Employee Salaries'!$AE$5:$AF$12,2,0)/10^5,0)</f>
        <v>0</v>
      </c>
      <c r="AM21" s="403">
        <f>AL21*$T$40+AL21+IFERROR(VLOOKUP(AK21,'Proposed Employee Salaries'!$AJ$30:$AK$37,2,0),0)/10^5</f>
        <v>0</v>
      </c>
      <c r="AN21" s="403">
        <f t="shared" si="13"/>
        <v>0</v>
      </c>
      <c r="AO21" s="403">
        <f t="shared" si="13"/>
        <v>0</v>
      </c>
      <c r="AP21" s="403">
        <f t="shared" si="13"/>
        <v>0</v>
      </c>
      <c r="AQ21" s="471"/>
      <c r="AR21" s="471"/>
    </row>
    <row r="22" spans="1:44">
      <c r="A22" s="277">
        <v>15</v>
      </c>
      <c r="B22" s="278" t="s">
        <v>159</v>
      </c>
      <c r="C22" s="406">
        <v>1145427</v>
      </c>
      <c r="D22" s="406">
        <v>53870</v>
      </c>
      <c r="E22" s="406">
        <v>34490</v>
      </c>
      <c r="F22" s="406">
        <v>1109328</v>
      </c>
      <c r="G22" s="410">
        <v>248390</v>
      </c>
      <c r="H22" s="413" t="s">
        <v>160</v>
      </c>
      <c r="J22" s="277">
        <v>15</v>
      </c>
      <c r="K22" s="278" t="s">
        <v>159</v>
      </c>
      <c r="L22" s="406">
        <f t="shared" si="14"/>
        <v>11.454269999999999</v>
      </c>
      <c r="M22" s="406">
        <f t="shared" si="0"/>
        <v>0.53869999999999996</v>
      </c>
      <c r="N22" s="406">
        <f t="shared" si="1"/>
        <v>0.34489999999999998</v>
      </c>
      <c r="O22" s="406">
        <f t="shared" si="2"/>
        <v>11.09328</v>
      </c>
      <c r="P22" s="406">
        <f t="shared" si="3"/>
        <v>2.4839000000000002</v>
      </c>
      <c r="R22" s="404">
        <f t="shared" si="4"/>
        <v>5.1830100000000003</v>
      </c>
      <c r="S22" s="404">
        <f t="shared" si="5"/>
        <v>5.4346629510962794</v>
      </c>
      <c r="T22" s="404">
        <f t="shared" si="6"/>
        <v>5.6853591744595491</v>
      </c>
      <c r="U22" s="404">
        <f t="shared" si="15"/>
        <v>5.9476197941752966</v>
      </c>
      <c r="W22" s="277">
        <v>15</v>
      </c>
      <c r="X22" s="278" t="s">
        <v>159</v>
      </c>
      <c r="Y22" s="403">
        <f t="shared" si="7"/>
        <v>6.2219782656789615</v>
      </c>
      <c r="Z22" s="403">
        <f t="shared" si="8"/>
        <v>6.5089926522361656</v>
      </c>
      <c r="AA22" s="403">
        <f t="shared" si="8"/>
        <v>6.8092467600802804</v>
      </c>
      <c r="AB22" s="403">
        <f t="shared" si="8"/>
        <v>7.1233513259128971</v>
      </c>
      <c r="AC22" s="403">
        <f t="shared" si="8"/>
        <v>7.4519452591826454</v>
      </c>
      <c r="AE22" s="403">
        <f t="shared" si="9"/>
        <v>5.1830100000000003</v>
      </c>
      <c r="AF22" s="403">
        <f t="shared" si="10"/>
        <v>5.4864930510962795</v>
      </c>
      <c r="AG22" s="403">
        <f t="shared" si="11"/>
        <v>5.7944450819105286</v>
      </c>
      <c r="AH22" s="403">
        <f t="shared" si="12"/>
        <v>6.1196821894394331</v>
      </c>
      <c r="AJ22" s="277">
        <v>15</v>
      </c>
      <c r="AK22" s="278" t="s">
        <v>159</v>
      </c>
      <c r="AL22" s="403">
        <f>AH22*$AF$40+AH22+IFERROR(VLOOKUP(AK22,'Proposed Employee Salaries'!$AE$5:$AF$12,2,0)/10^5,0)</f>
        <v>6.4019777479462316</v>
      </c>
      <c r="AM22" s="403">
        <f>AL22*$T$40+AL22+IFERROR(VLOOKUP(AK22,'Proposed Employee Salaries'!$AJ$30:$AK$37,2,0),0)/10^5</f>
        <v>6.69729535235113</v>
      </c>
      <c r="AN22" s="403">
        <f t="shared" si="13"/>
        <v>7.0062356981814302</v>
      </c>
      <c r="AO22" s="403">
        <f t="shared" si="13"/>
        <v>7.3294271905209314</v>
      </c>
      <c r="AP22" s="403">
        <f t="shared" si="13"/>
        <v>7.667527222227406</v>
      </c>
      <c r="AQ22" s="471"/>
      <c r="AR22" s="471"/>
    </row>
    <row r="23" spans="1:44">
      <c r="A23" s="277">
        <v>16</v>
      </c>
      <c r="B23" s="278" t="s">
        <v>161</v>
      </c>
      <c r="C23" s="406">
        <v>0</v>
      </c>
      <c r="D23" s="406">
        <v>0</v>
      </c>
      <c r="E23" s="406">
        <v>0</v>
      </c>
      <c r="F23" s="406">
        <v>0</v>
      </c>
      <c r="G23" s="410">
        <v>0</v>
      </c>
      <c r="H23" s="413" t="s">
        <v>157</v>
      </c>
      <c r="J23" s="277">
        <v>16</v>
      </c>
      <c r="K23" s="278" t="s">
        <v>161</v>
      </c>
      <c r="L23" s="406">
        <f t="shared" si="14"/>
        <v>0</v>
      </c>
      <c r="M23" s="406">
        <f t="shared" si="0"/>
        <v>0</v>
      </c>
      <c r="N23" s="406">
        <f t="shared" si="1"/>
        <v>0</v>
      </c>
      <c r="O23" s="406">
        <f t="shared" si="2"/>
        <v>0</v>
      </c>
      <c r="P23" s="406">
        <f t="shared" si="3"/>
        <v>0</v>
      </c>
      <c r="R23" s="404">
        <f t="shared" si="4"/>
        <v>0</v>
      </c>
      <c r="S23" s="404">
        <f t="shared" si="5"/>
        <v>0</v>
      </c>
      <c r="T23" s="404">
        <f t="shared" si="6"/>
        <v>0</v>
      </c>
      <c r="U23" s="404">
        <f t="shared" si="15"/>
        <v>0</v>
      </c>
      <c r="W23" s="277">
        <v>16</v>
      </c>
      <c r="X23" s="278" t="s">
        <v>161</v>
      </c>
      <c r="Y23" s="403">
        <f t="shared" si="7"/>
        <v>0</v>
      </c>
      <c r="Z23" s="403">
        <f t="shared" si="8"/>
        <v>0</v>
      </c>
      <c r="AA23" s="403">
        <f t="shared" si="8"/>
        <v>0</v>
      </c>
      <c r="AB23" s="403">
        <f t="shared" si="8"/>
        <v>0</v>
      </c>
      <c r="AC23" s="403">
        <f t="shared" si="8"/>
        <v>0</v>
      </c>
      <c r="AE23" s="403">
        <f t="shared" si="9"/>
        <v>0</v>
      </c>
      <c r="AF23" s="403">
        <f t="shared" si="10"/>
        <v>0</v>
      </c>
      <c r="AG23" s="403">
        <f t="shared" si="11"/>
        <v>0</v>
      </c>
      <c r="AH23" s="403">
        <f t="shared" si="12"/>
        <v>0</v>
      </c>
      <c r="AJ23" s="277">
        <v>16</v>
      </c>
      <c r="AK23" s="278" t="s">
        <v>161</v>
      </c>
      <c r="AL23" s="403">
        <f>AH23*$AF$40+AH23+IFERROR(VLOOKUP(AK23,'Proposed Employee Salaries'!$AE$5:$AF$12,2,0)/10^5,0)</f>
        <v>0</v>
      </c>
      <c r="AM23" s="403">
        <f>AL23*$T$40+AL23+IFERROR(VLOOKUP(AK23,'Proposed Employee Salaries'!$AJ$30:$AK$37,2,0),0)/10^5</f>
        <v>0</v>
      </c>
      <c r="AN23" s="403">
        <f t="shared" si="13"/>
        <v>0</v>
      </c>
      <c r="AO23" s="403">
        <f t="shared" si="13"/>
        <v>0</v>
      </c>
      <c r="AP23" s="403">
        <f t="shared" si="13"/>
        <v>0</v>
      </c>
      <c r="AQ23" s="471"/>
      <c r="AR23" s="471"/>
    </row>
    <row r="24" spans="1:44">
      <c r="A24" s="277">
        <v>17</v>
      </c>
      <c r="B24" s="278" t="s">
        <v>162</v>
      </c>
      <c r="C24" s="406">
        <v>0</v>
      </c>
      <c r="D24" s="406">
        <v>0</v>
      </c>
      <c r="E24" s="406">
        <v>0</v>
      </c>
      <c r="F24" s="406">
        <v>0</v>
      </c>
      <c r="G24" s="410">
        <v>0</v>
      </c>
      <c r="H24" s="413" t="s">
        <v>157</v>
      </c>
      <c r="J24" s="277">
        <v>17</v>
      </c>
      <c r="K24" s="278" t="s">
        <v>162</v>
      </c>
      <c r="L24" s="406">
        <f t="shared" si="14"/>
        <v>0</v>
      </c>
      <c r="M24" s="406">
        <f t="shared" si="0"/>
        <v>0</v>
      </c>
      <c r="N24" s="406">
        <f t="shared" si="1"/>
        <v>0</v>
      </c>
      <c r="O24" s="406">
        <f t="shared" si="2"/>
        <v>0</v>
      </c>
      <c r="P24" s="406">
        <f t="shared" si="3"/>
        <v>0</v>
      </c>
      <c r="R24" s="404">
        <f t="shared" si="4"/>
        <v>0</v>
      </c>
      <c r="S24" s="404">
        <f t="shared" si="5"/>
        <v>0</v>
      </c>
      <c r="T24" s="404">
        <f t="shared" si="6"/>
        <v>0</v>
      </c>
      <c r="U24" s="404">
        <f t="shared" si="15"/>
        <v>0</v>
      </c>
      <c r="W24" s="277">
        <v>17</v>
      </c>
      <c r="X24" s="278" t="s">
        <v>162</v>
      </c>
      <c r="Y24" s="403">
        <f t="shared" si="7"/>
        <v>0</v>
      </c>
      <c r="Z24" s="403">
        <f t="shared" si="8"/>
        <v>0</v>
      </c>
      <c r="AA24" s="403">
        <f t="shared" si="8"/>
        <v>0</v>
      </c>
      <c r="AB24" s="403">
        <f t="shared" si="8"/>
        <v>0</v>
      </c>
      <c r="AC24" s="403">
        <f t="shared" si="8"/>
        <v>0</v>
      </c>
      <c r="AE24" s="403">
        <f t="shared" si="9"/>
        <v>0</v>
      </c>
      <c r="AF24" s="403">
        <f t="shared" si="10"/>
        <v>0</v>
      </c>
      <c r="AG24" s="403">
        <f t="shared" si="11"/>
        <v>0</v>
      </c>
      <c r="AH24" s="403">
        <f t="shared" si="12"/>
        <v>0</v>
      </c>
      <c r="AJ24" s="277">
        <v>17</v>
      </c>
      <c r="AK24" s="278" t="s">
        <v>162</v>
      </c>
      <c r="AL24" s="403">
        <f>AH24*$AF$40+AH24+IFERROR(VLOOKUP(AK24,'Proposed Employee Salaries'!$AE$5:$AF$12,2,0)/10^5,0)</f>
        <v>0</v>
      </c>
      <c r="AM24" s="403">
        <f>AL24*$T$40+AL24+IFERROR(VLOOKUP(AK24,'Proposed Employee Salaries'!$AJ$30:$AK$37,2,0),0)/10^5</f>
        <v>0</v>
      </c>
      <c r="AN24" s="403">
        <f t="shared" si="13"/>
        <v>0</v>
      </c>
      <c r="AO24" s="403">
        <f t="shared" si="13"/>
        <v>0</v>
      </c>
      <c r="AP24" s="403">
        <f t="shared" si="13"/>
        <v>0</v>
      </c>
      <c r="AQ24" s="471"/>
      <c r="AR24" s="471"/>
    </row>
    <row r="25" spans="1:44">
      <c r="A25" s="277">
        <v>18</v>
      </c>
      <c r="B25" s="278" t="s">
        <v>163</v>
      </c>
      <c r="C25" s="406">
        <v>0</v>
      </c>
      <c r="D25" s="406">
        <v>0</v>
      </c>
      <c r="E25" s="406">
        <v>0</v>
      </c>
      <c r="F25" s="406">
        <v>0</v>
      </c>
      <c r="G25" s="410">
        <v>0</v>
      </c>
      <c r="H25" s="413" t="s">
        <v>157</v>
      </c>
      <c r="J25" s="277">
        <v>18</v>
      </c>
      <c r="K25" s="278" t="s">
        <v>163</v>
      </c>
      <c r="L25" s="406">
        <f t="shared" si="14"/>
        <v>0</v>
      </c>
      <c r="M25" s="406">
        <f t="shared" si="0"/>
        <v>0</v>
      </c>
      <c r="N25" s="406">
        <f t="shared" si="1"/>
        <v>0</v>
      </c>
      <c r="O25" s="406">
        <f t="shared" si="2"/>
        <v>0</v>
      </c>
      <c r="P25" s="406">
        <f t="shared" si="3"/>
        <v>0</v>
      </c>
      <c r="R25" s="404">
        <f t="shared" si="4"/>
        <v>0</v>
      </c>
      <c r="S25" s="404">
        <f t="shared" si="5"/>
        <v>0</v>
      </c>
      <c r="T25" s="404">
        <f t="shared" si="6"/>
        <v>0</v>
      </c>
      <c r="U25" s="404">
        <f t="shared" si="15"/>
        <v>0</v>
      </c>
      <c r="W25" s="277">
        <v>18</v>
      </c>
      <c r="X25" s="278" t="s">
        <v>163</v>
      </c>
      <c r="Y25" s="403">
        <f t="shared" si="7"/>
        <v>0</v>
      </c>
      <c r="Z25" s="403">
        <f t="shared" si="8"/>
        <v>0</v>
      </c>
      <c r="AA25" s="403">
        <f t="shared" si="8"/>
        <v>0</v>
      </c>
      <c r="AB25" s="403">
        <f t="shared" si="8"/>
        <v>0</v>
      </c>
      <c r="AC25" s="403">
        <f t="shared" si="8"/>
        <v>0</v>
      </c>
      <c r="AE25" s="403">
        <f t="shared" si="9"/>
        <v>0</v>
      </c>
      <c r="AF25" s="403">
        <f t="shared" si="10"/>
        <v>0</v>
      </c>
      <c r="AG25" s="403">
        <f t="shared" si="11"/>
        <v>0</v>
      </c>
      <c r="AH25" s="403">
        <f t="shared" si="12"/>
        <v>0</v>
      </c>
      <c r="AJ25" s="277">
        <v>18</v>
      </c>
      <c r="AK25" s="278" t="s">
        <v>163</v>
      </c>
      <c r="AL25" s="403">
        <f>AH25*$AF$40+AH25+IFERROR(VLOOKUP(AK25,'Proposed Employee Salaries'!$AE$5:$AF$12,2,0)/10^5,0)</f>
        <v>0</v>
      </c>
      <c r="AM25" s="403">
        <f>AL25*$T$40+AL25+IFERROR(VLOOKUP(AK25,'Proposed Employee Salaries'!$AJ$30:$AK$37,2,0),0)/10^5</f>
        <v>0</v>
      </c>
      <c r="AN25" s="403">
        <f t="shared" si="13"/>
        <v>0</v>
      </c>
      <c r="AO25" s="403">
        <f t="shared" si="13"/>
        <v>0</v>
      </c>
      <c r="AP25" s="403">
        <f t="shared" si="13"/>
        <v>0</v>
      </c>
      <c r="AQ25" s="471"/>
      <c r="AR25" s="471"/>
    </row>
    <row r="26" spans="1:44">
      <c r="A26" s="277">
        <v>19</v>
      </c>
      <c r="B26" s="280" t="s">
        <v>164</v>
      </c>
      <c r="C26" s="406">
        <v>7081756</v>
      </c>
      <c r="D26" s="406">
        <v>6849512</v>
      </c>
      <c r="E26" s="406">
        <v>7624064</v>
      </c>
      <c r="F26" s="406">
        <v>9570598</v>
      </c>
      <c r="G26" s="410">
        <v>9539304</v>
      </c>
      <c r="H26" s="413" t="s">
        <v>139</v>
      </c>
      <c r="J26" s="277">
        <v>19</v>
      </c>
      <c r="K26" s="280" t="s">
        <v>164</v>
      </c>
      <c r="L26" s="406">
        <f t="shared" si="14"/>
        <v>70.81756</v>
      </c>
      <c r="M26" s="406">
        <f t="shared" si="0"/>
        <v>68.49512</v>
      </c>
      <c r="N26" s="406">
        <f t="shared" si="1"/>
        <v>76.240639999999999</v>
      </c>
      <c r="O26" s="406">
        <f t="shared" si="2"/>
        <v>95.705979999999997</v>
      </c>
      <c r="P26" s="406">
        <f t="shared" si="3"/>
        <v>95.393039999999999</v>
      </c>
      <c r="R26" s="404">
        <f t="shared" si="4"/>
        <v>81.330467999999996</v>
      </c>
      <c r="S26" s="404">
        <f t="shared" si="5"/>
        <v>85.279341779182644</v>
      </c>
      <c r="T26" s="404">
        <f t="shared" si="6"/>
        <v>89.213202831344844</v>
      </c>
      <c r="U26" s="404">
        <f t="shared" si="15"/>
        <v>93.328529434892161</v>
      </c>
      <c r="W26" s="277">
        <v>19</v>
      </c>
      <c r="X26" s="280" t="s">
        <v>164</v>
      </c>
      <c r="Y26" s="403">
        <f t="shared" si="7"/>
        <v>97.633692436151605</v>
      </c>
      <c r="Z26" s="403">
        <f t="shared" si="8"/>
        <v>102.13744882123099</v>
      </c>
      <c r="AA26" s="403">
        <f t="shared" si="8"/>
        <v>106.84895952830745</v>
      </c>
      <c r="AB26" s="403">
        <f t="shared" si="8"/>
        <v>111.77780808158123</v>
      </c>
      <c r="AC26" s="403">
        <f t="shared" si="8"/>
        <v>116.93402008479738</v>
      </c>
      <c r="AE26" s="403">
        <f t="shared" si="9"/>
        <v>81.330467999999996</v>
      </c>
      <c r="AF26" s="403">
        <f t="shared" si="10"/>
        <v>86.092646459182646</v>
      </c>
      <c r="AG26" s="403">
        <f t="shared" si="11"/>
        <v>90.924951005705481</v>
      </c>
      <c r="AH26" s="403">
        <f t="shared" si="12"/>
        <v>96.028488557493361</v>
      </c>
      <c r="AJ26" s="277">
        <v>19</v>
      </c>
      <c r="AK26" s="280" t="s">
        <v>164</v>
      </c>
      <c r="AL26" s="403">
        <f>AH26*$AF$40+AH26+IFERROR(VLOOKUP(AK26,'Proposed Employee Salaries'!$AE$5:$AF$12,2,0)/10^5,0)</f>
        <v>100.4581982990681</v>
      </c>
      <c r="AM26" s="403">
        <f>AL26*$T$40+AL26+IFERROR(VLOOKUP(AK26,'Proposed Employee Salaries'!$AJ$30:$AK$37,2,0),0)/10^5</f>
        <v>105.09224665608251</v>
      </c>
      <c r="AN26" s="403">
        <f t="shared" si="13"/>
        <v>109.94005958919669</v>
      </c>
      <c r="AO26" s="403">
        <f t="shared" si="13"/>
        <v>115.01149787034799</v>
      </c>
      <c r="AP26" s="403">
        <f t="shared" si="13"/>
        <v>120.31687714021288</v>
      </c>
      <c r="AQ26" s="471"/>
      <c r="AR26" s="471"/>
    </row>
    <row r="27" spans="1:44">
      <c r="A27" s="277">
        <v>20</v>
      </c>
      <c r="B27" s="280" t="s">
        <v>165</v>
      </c>
      <c r="C27" s="406">
        <v>8352792</v>
      </c>
      <c r="D27" s="406">
        <v>8250516</v>
      </c>
      <c r="E27" s="406">
        <v>9059226</v>
      </c>
      <c r="F27" s="406">
        <v>12510252</v>
      </c>
      <c r="G27" s="410">
        <v>11271211</v>
      </c>
      <c r="H27" s="413" t="s">
        <v>139</v>
      </c>
      <c r="J27" s="277">
        <v>20</v>
      </c>
      <c r="K27" s="280" t="s">
        <v>165</v>
      </c>
      <c r="L27" s="406">
        <f t="shared" si="14"/>
        <v>83.527919999999995</v>
      </c>
      <c r="M27" s="406">
        <f t="shared" si="0"/>
        <v>82.505160000000004</v>
      </c>
      <c r="N27" s="406">
        <f t="shared" si="1"/>
        <v>90.592259999999996</v>
      </c>
      <c r="O27" s="406">
        <f t="shared" si="2"/>
        <v>125.10252</v>
      </c>
      <c r="P27" s="406">
        <f t="shared" si="3"/>
        <v>112.71211</v>
      </c>
      <c r="R27" s="404">
        <f t="shared" si="4"/>
        <v>98.887993999999992</v>
      </c>
      <c r="S27" s="404">
        <f t="shared" si="5"/>
        <v>103.68934601708872</v>
      </c>
      <c r="T27" s="404">
        <f t="shared" si="6"/>
        <v>108.47244437726353</v>
      </c>
      <c r="U27" s="404">
        <f t="shared" si="15"/>
        <v>113.47618285912776</v>
      </c>
      <c r="W27" s="277">
        <v>20</v>
      </c>
      <c r="X27" s="280" t="s">
        <v>165</v>
      </c>
      <c r="Y27" s="403">
        <f t="shared" si="7"/>
        <v>118.7107393974913</v>
      </c>
      <c r="Z27" s="403">
        <f t="shared" si="8"/>
        <v>124.18676142634759</v>
      </c>
      <c r="AA27" s="403">
        <f t="shared" si="8"/>
        <v>129.91538753645816</v>
      </c>
      <c r="AB27" s="403">
        <f t="shared" si="8"/>
        <v>135.90827013198245</v>
      </c>
      <c r="AC27" s="403">
        <f t="shared" si="8"/>
        <v>142.17759913223813</v>
      </c>
      <c r="AE27" s="403">
        <f t="shared" si="9"/>
        <v>98.887993999999992</v>
      </c>
      <c r="AF27" s="403">
        <f t="shared" si="10"/>
        <v>104.67822595708873</v>
      </c>
      <c r="AG27" s="403">
        <f t="shared" si="11"/>
        <v>110.55372273896785</v>
      </c>
      <c r="AH27" s="403">
        <f t="shared" si="12"/>
        <v>116.75900598902827</v>
      </c>
      <c r="AJ27" s="277">
        <v>20</v>
      </c>
      <c r="AK27" s="280" t="s">
        <v>165</v>
      </c>
      <c r="AL27" s="403">
        <f>AH27*$AF$40+AH27+IFERROR(VLOOKUP(AK27,'Proposed Employee Salaries'!$AE$5:$AF$12,2,0)/10^5,0)</f>
        <v>122.14499627186525</v>
      </c>
      <c r="AM27" s="403">
        <f>AL27*$T$40+AL27+IFERROR(VLOOKUP(AK27,'Proposed Employee Salaries'!$AJ$30:$AK$37,2,0),0)/10^5</f>
        <v>127.77943755067544</v>
      </c>
      <c r="AN27" s="403">
        <f t="shared" si="13"/>
        <v>133.67379065144598</v>
      </c>
      <c r="AO27" s="403">
        <f t="shared" si="13"/>
        <v>139.84004507798957</v>
      </c>
      <c r="AP27" s="403">
        <f t="shared" si="13"/>
        <v>146.29074339938771</v>
      </c>
      <c r="AQ27" s="471"/>
      <c r="AR27" s="471"/>
    </row>
    <row r="28" spans="1:44">
      <c r="A28" s="277">
        <v>21</v>
      </c>
      <c r="B28" s="278" t="s">
        <v>166</v>
      </c>
      <c r="C28" s="406">
        <v>0</v>
      </c>
      <c r="D28" s="406">
        <v>0</v>
      </c>
      <c r="E28" s="406">
        <v>0</v>
      </c>
      <c r="F28" s="406">
        <v>0</v>
      </c>
      <c r="G28" s="410">
        <v>0</v>
      </c>
      <c r="H28" s="413" t="s">
        <v>167</v>
      </c>
      <c r="J28" s="277">
        <v>21</v>
      </c>
      <c r="K28" s="278" t="s">
        <v>166</v>
      </c>
      <c r="L28" s="406">
        <f t="shared" si="14"/>
        <v>0</v>
      </c>
      <c r="M28" s="406">
        <f t="shared" si="0"/>
        <v>0</v>
      </c>
      <c r="N28" s="406">
        <f t="shared" si="1"/>
        <v>0</v>
      </c>
      <c r="O28" s="406">
        <f t="shared" si="2"/>
        <v>0</v>
      </c>
      <c r="P28" s="406">
        <f t="shared" si="3"/>
        <v>0</v>
      </c>
      <c r="R28" s="404">
        <f t="shared" si="4"/>
        <v>0</v>
      </c>
      <c r="S28" s="404">
        <f t="shared" si="5"/>
        <v>0</v>
      </c>
      <c r="T28" s="404">
        <f t="shared" si="6"/>
        <v>0</v>
      </c>
      <c r="U28" s="404">
        <f t="shared" si="15"/>
        <v>0</v>
      </c>
      <c r="W28" s="277">
        <v>21</v>
      </c>
      <c r="X28" s="278" t="s">
        <v>166</v>
      </c>
      <c r="Y28" s="403">
        <f t="shared" si="7"/>
        <v>0</v>
      </c>
      <c r="Z28" s="403">
        <f t="shared" si="8"/>
        <v>0</v>
      </c>
      <c r="AA28" s="403">
        <f t="shared" si="8"/>
        <v>0</v>
      </c>
      <c r="AB28" s="403">
        <f t="shared" si="8"/>
        <v>0</v>
      </c>
      <c r="AC28" s="403">
        <f t="shared" si="8"/>
        <v>0</v>
      </c>
      <c r="AE28" s="403">
        <f t="shared" si="9"/>
        <v>0</v>
      </c>
      <c r="AF28" s="403">
        <f t="shared" si="10"/>
        <v>0</v>
      </c>
      <c r="AG28" s="403">
        <f t="shared" si="11"/>
        <v>0</v>
      </c>
      <c r="AH28" s="403">
        <f t="shared" si="12"/>
        <v>0</v>
      </c>
      <c r="AJ28" s="277">
        <v>21</v>
      </c>
      <c r="AK28" s="278" t="s">
        <v>166</v>
      </c>
      <c r="AL28" s="403">
        <f>AH28*$AF$40+AH28+IFERROR(VLOOKUP(AK28,'Proposed Employee Salaries'!$AE$5:$AF$12,2,0)/10^5,0)</f>
        <v>0</v>
      </c>
      <c r="AM28" s="403">
        <f>AL28*$T$40+AL28+IFERROR(VLOOKUP(AK28,'Proposed Employee Salaries'!$AJ$30:$AK$37,2,0),0)/10^5</f>
        <v>0</v>
      </c>
      <c r="AN28" s="403">
        <f t="shared" si="13"/>
        <v>0</v>
      </c>
      <c r="AO28" s="403">
        <f t="shared" si="13"/>
        <v>0</v>
      </c>
      <c r="AP28" s="403">
        <f t="shared" si="13"/>
        <v>0</v>
      </c>
      <c r="AQ28" s="471"/>
      <c r="AR28" s="471"/>
    </row>
    <row r="29" spans="1:44">
      <c r="A29" s="277">
        <v>22</v>
      </c>
      <c r="B29" s="278" t="s">
        <v>168</v>
      </c>
      <c r="C29" s="406">
        <v>0</v>
      </c>
      <c r="D29" s="406">
        <v>4242300</v>
      </c>
      <c r="E29" s="406">
        <v>3207496</v>
      </c>
      <c r="F29" s="406">
        <v>3011000</v>
      </c>
      <c r="G29" s="410">
        <v>1631917</v>
      </c>
      <c r="H29" s="413" t="s">
        <v>139</v>
      </c>
      <c r="J29" s="277">
        <v>22</v>
      </c>
      <c r="K29" s="278" t="s">
        <v>168</v>
      </c>
      <c r="L29" s="406">
        <f t="shared" si="14"/>
        <v>0</v>
      </c>
      <c r="M29" s="406">
        <f t="shared" si="0"/>
        <v>42.423000000000002</v>
      </c>
      <c r="N29" s="406">
        <f t="shared" si="1"/>
        <v>32.074959999999997</v>
      </c>
      <c r="O29" s="406">
        <f t="shared" si="2"/>
        <v>30.11</v>
      </c>
      <c r="P29" s="406">
        <f t="shared" si="3"/>
        <v>16.31917</v>
      </c>
      <c r="R29" s="404">
        <f t="shared" si="4"/>
        <v>24.185426</v>
      </c>
      <c r="S29" s="404">
        <f t="shared" si="5"/>
        <v>25.359711565032804</v>
      </c>
      <c r="T29" s="404">
        <f t="shared" si="6"/>
        <v>26.529532761332216</v>
      </c>
      <c r="U29" s="404">
        <f t="shared" si="15"/>
        <v>27.753316780820768</v>
      </c>
      <c r="W29" s="277">
        <v>22</v>
      </c>
      <c r="X29" s="278" t="s">
        <v>168</v>
      </c>
      <c r="Y29" s="403">
        <f t="shared" si="7"/>
        <v>29.033552881083935</v>
      </c>
      <c r="Z29" s="403">
        <f t="shared" si="8"/>
        <v>30.372845146970871</v>
      </c>
      <c r="AA29" s="403">
        <f t="shared" si="8"/>
        <v>31.773917787475106</v>
      </c>
      <c r="AB29" s="403">
        <f t="shared" si="8"/>
        <v>33.239620676955717</v>
      </c>
      <c r="AC29" s="403">
        <f t="shared" si="8"/>
        <v>34.772935151970124</v>
      </c>
      <c r="AE29" s="403">
        <f t="shared" si="9"/>
        <v>24.185426</v>
      </c>
      <c r="AF29" s="403">
        <f t="shared" si="10"/>
        <v>25.601565825032804</v>
      </c>
      <c r="AG29" s="403">
        <f t="shared" si="11"/>
        <v>27.038559203939606</v>
      </c>
      <c r="AH29" s="403">
        <f t="shared" si="12"/>
        <v>28.556209757690102</v>
      </c>
      <c r="AJ29" s="277">
        <v>22</v>
      </c>
      <c r="AK29" s="278" t="s">
        <v>168</v>
      </c>
      <c r="AL29" s="403">
        <f>AH29*$AF$40+AH29+IFERROR(VLOOKUP(AK29,'Proposed Employee Salaries'!$AE$5:$AF$12,2,0)/10^5,0)</f>
        <v>29.873482605011418</v>
      </c>
      <c r="AM29" s="403">
        <f>AL29*$T$40+AL29+IFERROR(VLOOKUP(AK29,'Proposed Employee Salaries'!$AJ$30:$AK$37,2,0),0)/10^5</f>
        <v>31.251520090532754</v>
      </c>
      <c r="AN29" s="403">
        <f t="shared" si="13"/>
        <v>32.69312523358537</v>
      </c>
      <c r="AO29" s="403">
        <f t="shared" si="13"/>
        <v>34.201230354317644</v>
      </c>
      <c r="AP29" s="403">
        <f t="shared" si="13"/>
        <v>35.778903038228073</v>
      </c>
      <c r="AQ29" s="471"/>
      <c r="AR29" s="471"/>
    </row>
    <row r="30" spans="1:44">
      <c r="A30" s="277">
        <v>23</v>
      </c>
      <c r="B30" s="278" t="s">
        <v>169</v>
      </c>
      <c r="C30" s="406">
        <v>0</v>
      </c>
      <c r="D30" s="406">
        <v>2862380</v>
      </c>
      <c r="E30" s="406">
        <v>2785843</v>
      </c>
      <c r="F30" s="406">
        <v>2779255</v>
      </c>
      <c r="G30" s="410">
        <v>2668215</v>
      </c>
      <c r="H30" s="413" t="s">
        <v>139</v>
      </c>
      <c r="J30" s="277">
        <v>23</v>
      </c>
      <c r="K30" s="278" t="s">
        <v>169</v>
      </c>
      <c r="L30" s="406">
        <f t="shared" si="14"/>
        <v>0</v>
      </c>
      <c r="M30" s="406">
        <f t="shared" si="0"/>
        <v>28.623799999999999</v>
      </c>
      <c r="N30" s="406">
        <f t="shared" si="1"/>
        <v>27.858429999999998</v>
      </c>
      <c r="O30" s="406">
        <f t="shared" si="2"/>
        <v>27.792549999999999</v>
      </c>
      <c r="P30" s="406">
        <f t="shared" si="3"/>
        <v>26.68215</v>
      </c>
      <c r="R30" s="404">
        <f t="shared" si="4"/>
        <v>22.191386000000001</v>
      </c>
      <c r="S30" s="404">
        <f t="shared" si="5"/>
        <v>23.268854068905259</v>
      </c>
      <c r="T30" s="404">
        <f t="shared" si="6"/>
        <v>24.342225847349933</v>
      </c>
      <c r="U30" s="404">
        <f t="shared" si="15"/>
        <v>25.465111322143802</v>
      </c>
      <c r="W30" s="277">
        <v>23</v>
      </c>
      <c r="X30" s="278" t="s">
        <v>169</v>
      </c>
      <c r="Y30" s="403">
        <f t="shared" si="7"/>
        <v>26.639794516563228</v>
      </c>
      <c r="Z30" s="403">
        <f t="shared" si="8"/>
        <v>27.868664813870026</v>
      </c>
      <c r="AA30" s="403">
        <f t="shared" si="8"/>
        <v>29.154221817474955</v>
      </c>
      <c r="AB30" s="403">
        <f t="shared" si="8"/>
        <v>30.499080435296261</v>
      </c>
      <c r="AC30" s="403">
        <f t="shared" si="8"/>
        <v>31.905976198655239</v>
      </c>
      <c r="AE30" s="403">
        <f t="shared" si="9"/>
        <v>22.191386000000001</v>
      </c>
      <c r="AF30" s="403">
        <f t="shared" si="10"/>
        <v>23.49076792890526</v>
      </c>
      <c r="AG30" s="403">
        <f t="shared" si="11"/>
        <v>24.809284077877169</v>
      </c>
      <c r="AH30" s="403">
        <f t="shared" si="12"/>
        <v>26.201807378950758</v>
      </c>
      <c r="AJ30" s="277">
        <v>23</v>
      </c>
      <c r="AK30" s="278" t="s">
        <v>169</v>
      </c>
      <c r="AL30" s="403">
        <f>AH30*$AF$40+AH30+IFERROR(VLOOKUP(AK30,'Proposed Employee Salaries'!$AE$5:$AF$12,2,0)/10^5,0)</f>
        <v>27.410473714711241</v>
      </c>
      <c r="AM30" s="403">
        <f>AL30*$T$40+AL30+IFERROR(VLOOKUP(AK30,'Proposed Employee Salaries'!$AJ$30:$AK$37,2,0),0)/10^5</f>
        <v>28.67489476578859</v>
      </c>
      <c r="AN30" s="403">
        <f t="shared" si="13"/>
        <v>29.997642448176563</v>
      </c>
      <c r="AO30" s="403">
        <f t="shared" si="13"/>
        <v>31.38140731809229</v>
      </c>
      <c r="AP30" s="403">
        <f t="shared" si="13"/>
        <v>32.829004044745453</v>
      </c>
      <c r="AQ30" s="471"/>
      <c r="AR30" s="471"/>
    </row>
    <row r="31" spans="1:44">
      <c r="A31" s="277">
        <v>24</v>
      </c>
      <c r="B31" s="281" t="s">
        <v>170</v>
      </c>
      <c r="C31" s="407">
        <f t="shared" ref="C31:G31" si="16">SUM(C8:C30)</f>
        <v>56774698.999208547</v>
      </c>
      <c r="D31" s="407">
        <f t="shared" si="16"/>
        <v>60843526.000516474</v>
      </c>
      <c r="E31" s="407">
        <f t="shared" si="16"/>
        <v>66018273</v>
      </c>
      <c r="F31" s="407">
        <f t="shared" si="16"/>
        <v>82371081.199355483</v>
      </c>
      <c r="G31" s="411">
        <f t="shared" si="16"/>
        <v>77131573.001695871</v>
      </c>
      <c r="H31" s="413" t="s">
        <v>65</v>
      </c>
      <c r="J31" s="277">
        <v>24</v>
      </c>
      <c r="K31" s="281" t="s">
        <v>170</v>
      </c>
      <c r="L31" s="407">
        <f t="shared" ref="L31" si="17">SUM(L8:L30)</f>
        <v>567.74698999208545</v>
      </c>
      <c r="M31" s="407">
        <f t="shared" ref="M31" si="18">SUM(M8:M30)</f>
        <v>608.43526000516476</v>
      </c>
      <c r="N31" s="407">
        <f t="shared" ref="N31" si="19">SUM(N8:N30)</f>
        <v>660.18273000000011</v>
      </c>
      <c r="O31" s="407">
        <f t="shared" ref="O31" si="20">SUM(O8:O30)</f>
        <v>823.7108119935549</v>
      </c>
      <c r="P31" s="407">
        <f t="shared" ref="P31" si="21">SUM(P8:P30)</f>
        <v>771.31573001695881</v>
      </c>
      <c r="R31" s="408">
        <f>SUM(R8:R30)</f>
        <v>686.27830440155276</v>
      </c>
      <c r="S31" s="408">
        <f>SUM(S8:S30)</f>
        <v>719.59947502943146</v>
      </c>
      <c r="T31" s="408">
        <f>SUM(T8:T30)</f>
        <v>752.79396608571278</v>
      </c>
      <c r="U31" s="408">
        <f>SUM(U8:U30)</f>
        <v>787.51968982728852</v>
      </c>
      <c r="W31" s="277">
        <v>24</v>
      </c>
      <c r="X31" s="281" t="s">
        <v>170</v>
      </c>
      <c r="Y31" s="408">
        <f>SUM(Y8:Y30)</f>
        <v>823.84728067155402</v>
      </c>
      <c r="Z31" s="408">
        <f>SUM(Z8:Z30)</f>
        <v>861.8506313394729</v>
      </c>
      <c r="AA31" s="408">
        <f>SUM(AA8:AA30)</f>
        <v>901.60704315825376</v>
      </c>
      <c r="AB31" s="408">
        <f>SUM(AB8:AB30)</f>
        <v>943.19738329736094</v>
      </c>
      <c r="AC31" s="408">
        <f>SUM(AC8:AC30)</f>
        <v>986.70624925768118</v>
      </c>
      <c r="AE31" s="408">
        <f>SUM(AE8:AE30)</f>
        <v>686.27830440155276</v>
      </c>
      <c r="AF31" s="408">
        <f>SUM(AF8:AF30)</f>
        <v>726.46225807344683</v>
      </c>
      <c r="AG31" s="408">
        <f>SUM(AG8:AG30)</f>
        <v>767.2379458580001</v>
      </c>
      <c r="AH31" s="408">
        <f>SUM(AH8:AH30)</f>
        <v>810.30233714480119</v>
      </c>
      <c r="AJ31" s="277">
        <v>24</v>
      </c>
      <c r="AK31" s="281" t="s">
        <v>170</v>
      </c>
      <c r="AL31" s="408">
        <f>SUM(AL8:AL30)</f>
        <v>920.92743416019835</v>
      </c>
      <c r="AM31" s="408">
        <f>SUM(AM8:AM30)</f>
        <v>986.90370769211927</v>
      </c>
      <c r="AN31" s="408">
        <f>SUM(AN8:AN30)</f>
        <v>1032.4287079668309</v>
      </c>
      <c r="AO31" s="408">
        <f>SUM(AO8:AO30)</f>
        <v>1080.0537364751569</v>
      </c>
      <c r="AP31" s="408">
        <f>SUM(AP8:AP30)</f>
        <v>1129.8756656730091</v>
      </c>
    </row>
    <row r="32" spans="1:44">
      <c r="A32" s="277">
        <v>25</v>
      </c>
      <c r="B32" s="278" t="s">
        <v>171</v>
      </c>
      <c r="C32" s="406">
        <v>0</v>
      </c>
      <c r="D32" s="406">
        <v>0</v>
      </c>
      <c r="E32" s="406">
        <v>0</v>
      </c>
      <c r="F32" s="406">
        <v>0</v>
      </c>
      <c r="G32" s="410">
        <v>0</v>
      </c>
      <c r="H32" s="413" t="s">
        <v>172</v>
      </c>
      <c r="J32" s="277">
        <v>25</v>
      </c>
      <c r="K32" s="278" t="s">
        <v>171</v>
      </c>
      <c r="L32" s="406">
        <v>0</v>
      </c>
      <c r="M32" s="406">
        <v>0</v>
      </c>
      <c r="N32" s="406">
        <v>0</v>
      </c>
      <c r="O32" s="406">
        <v>0</v>
      </c>
      <c r="P32" s="406">
        <v>0</v>
      </c>
      <c r="R32" s="404">
        <f>AVERAGE(L32:P32)</f>
        <v>0</v>
      </c>
      <c r="S32" s="404">
        <f>R32+R32*T61</f>
        <v>0</v>
      </c>
      <c r="T32" s="404">
        <f>S32+S32*T62</f>
        <v>0</v>
      </c>
      <c r="U32" s="404">
        <f>T32+T32*U62</f>
        <v>0</v>
      </c>
      <c r="W32" s="277">
        <v>25</v>
      </c>
      <c r="X32" s="278" t="s">
        <v>171</v>
      </c>
      <c r="Y32" s="403">
        <f>U32+U32*$T$40</f>
        <v>0</v>
      </c>
      <c r="Z32" s="403">
        <f>Y32+Y32*$T$40</f>
        <v>0</v>
      </c>
      <c r="AA32" s="403">
        <f>Z32+Z32*$T$40</f>
        <v>0</v>
      </c>
      <c r="AB32" s="403">
        <f>AA32+AA32*$T$40</f>
        <v>0</v>
      </c>
      <c r="AC32" s="403">
        <f>AB32+AB32*$T$40</f>
        <v>0</v>
      </c>
      <c r="AE32" s="403">
        <f>AD32+AD32*$T$40</f>
        <v>0</v>
      </c>
      <c r="AF32" s="403">
        <f>AE32+AE32*$T$40</f>
        <v>0</v>
      </c>
      <c r="AG32" s="403">
        <f>AF32+AF32*$T$40</f>
        <v>0</v>
      </c>
      <c r="AH32" s="403">
        <f>AG32+AG32*$T$40</f>
        <v>0</v>
      </c>
      <c r="AJ32" s="277">
        <v>25</v>
      </c>
      <c r="AK32" s="278" t="s">
        <v>171</v>
      </c>
      <c r="AL32" s="403">
        <v>0</v>
      </c>
      <c r="AM32" s="403">
        <v>0</v>
      </c>
      <c r="AN32" s="403">
        <v>0</v>
      </c>
      <c r="AO32" s="403">
        <v>0</v>
      </c>
      <c r="AP32" s="403">
        <v>0</v>
      </c>
    </row>
    <row r="33" spans="1:42">
      <c r="A33" s="277">
        <v>26</v>
      </c>
      <c r="B33" s="282" t="s">
        <v>173</v>
      </c>
      <c r="C33" s="408">
        <f>C31-C32</f>
        <v>56774698.999208547</v>
      </c>
      <c r="D33" s="408">
        <f t="shared" ref="D33:G33" si="22">D31-D32</f>
        <v>60843526.000516474</v>
      </c>
      <c r="E33" s="408">
        <f t="shared" si="22"/>
        <v>66018273</v>
      </c>
      <c r="F33" s="408">
        <f t="shared" si="22"/>
        <v>82371081.199355483</v>
      </c>
      <c r="G33" s="412">
        <f t="shared" si="22"/>
        <v>77131573.001695871</v>
      </c>
      <c r="H33" s="413" t="s">
        <v>65</v>
      </c>
      <c r="J33" s="277">
        <v>26</v>
      </c>
      <c r="K33" s="282" t="s">
        <v>173</v>
      </c>
      <c r="L33" s="408">
        <f>L31-L32</f>
        <v>567.74698999208545</v>
      </c>
      <c r="M33" s="408">
        <f t="shared" ref="M33:P33" si="23">M31-M32</f>
        <v>608.43526000516476</v>
      </c>
      <c r="N33" s="408">
        <f t="shared" si="23"/>
        <v>660.18273000000011</v>
      </c>
      <c r="O33" s="408">
        <f t="shared" si="23"/>
        <v>823.7108119935549</v>
      </c>
      <c r="P33" s="408">
        <f t="shared" si="23"/>
        <v>771.31573001695881</v>
      </c>
      <c r="R33" s="408">
        <f>R31-R32</f>
        <v>686.27830440155276</v>
      </c>
      <c r="S33" s="408">
        <f>S31-S32</f>
        <v>719.59947502943146</v>
      </c>
      <c r="T33" s="408">
        <f>T31-T32</f>
        <v>752.79396608571278</v>
      </c>
      <c r="U33" s="408">
        <f>U31-U32</f>
        <v>787.51968982728852</v>
      </c>
      <c r="W33" s="277">
        <v>26</v>
      </c>
      <c r="X33" s="282" t="s">
        <v>173</v>
      </c>
      <c r="Y33" s="408">
        <f>Y31-Y32</f>
        <v>823.84728067155402</v>
      </c>
      <c r="Z33" s="408">
        <f>Z31-Z32</f>
        <v>861.8506313394729</v>
      </c>
      <c r="AA33" s="408">
        <f>AA31-AA32</f>
        <v>901.60704315825376</v>
      </c>
      <c r="AB33" s="408">
        <f>AB31-AB32</f>
        <v>943.19738329736094</v>
      </c>
      <c r="AC33" s="408">
        <f>AC31-AC32</f>
        <v>986.70624925768118</v>
      </c>
      <c r="AE33" s="408">
        <f>AE31-AE32</f>
        <v>686.27830440155276</v>
      </c>
      <c r="AF33" s="408">
        <f>AF31-AF32</f>
        <v>726.46225807344683</v>
      </c>
      <c r="AG33" s="408">
        <f>AG31-AG32</f>
        <v>767.2379458580001</v>
      </c>
      <c r="AH33" s="408">
        <f>AH31-AH32</f>
        <v>810.30233714480119</v>
      </c>
      <c r="AJ33" s="277">
        <v>26</v>
      </c>
      <c r="AK33" s="282" t="s">
        <v>173</v>
      </c>
      <c r="AL33" s="408">
        <f>AL31-AL32</f>
        <v>920.92743416019835</v>
      </c>
      <c r="AM33" s="408">
        <f>AM31-AM32</f>
        <v>986.90370769211927</v>
      </c>
      <c r="AN33" s="408">
        <f>AN31-AN32</f>
        <v>1032.4287079668309</v>
      </c>
      <c r="AO33" s="408">
        <f>AO31-AO32</f>
        <v>1080.0537364751569</v>
      </c>
      <c r="AP33" s="408">
        <f>AP31-AP32</f>
        <v>1129.8756656730091</v>
      </c>
    </row>
    <row r="34" spans="1:42">
      <c r="H34" s="414"/>
    </row>
    <row r="36" spans="1:42" ht="13.9">
      <c r="L36" s="382"/>
      <c r="M36" s="382"/>
      <c r="N36" s="382"/>
      <c r="O36" s="382"/>
      <c r="P36" s="382"/>
      <c r="R36" s="432" t="s">
        <v>122</v>
      </c>
      <c r="AE36" s="432" t="s">
        <v>123</v>
      </c>
    </row>
    <row r="37" spans="1:42" ht="13.9">
      <c r="B37" s="278" t="s">
        <v>150</v>
      </c>
      <c r="C37" s="278" t="s">
        <v>174</v>
      </c>
      <c r="L37" s="382"/>
      <c r="M37" s="382"/>
      <c r="N37" s="382"/>
      <c r="O37" s="382"/>
      <c r="P37" s="382"/>
      <c r="R37" s="19" t="s">
        <v>124</v>
      </c>
      <c r="S37" s="19"/>
      <c r="T37" s="467">
        <v>4.8553437306946882E-2</v>
      </c>
      <c r="AE37" s="466" t="s">
        <v>124</v>
      </c>
      <c r="AF37" s="467">
        <v>5.8553437306946884E-2</v>
      </c>
    </row>
    <row r="38" spans="1:42" ht="13.9">
      <c r="B38" s="278" t="s">
        <v>153</v>
      </c>
      <c r="C38" s="278" t="s">
        <v>175</v>
      </c>
      <c r="L38" s="382"/>
      <c r="M38" s="382"/>
      <c r="N38" s="382"/>
      <c r="O38" s="382"/>
      <c r="P38" s="382"/>
      <c r="R38" s="19" t="s">
        <v>125</v>
      </c>
      <c r="S38" s="19"/>
      <c r="T38" s="467">
        <v>4.6129120723613429E-2</v>
      </c>
      <c r="AE38" s="466" t="s">
        <v>125</v>
      </c>
      <c r="AF38" s="467">
        <v>5.6129120723613431E-2</v>
      </c>
    </row>
    <row r="39" spans="1:42" ht="13.9">
      <c r="B39" s="278" t="s">
        <v>156</v>
      </c>
      <c r="C39" s="278" t="s">
        <v>176</v>
      </c>
      <c r="L39" s="382"/>
      <c r="M39" s="382"/>
      <c r="N39" s="382"/>
      <c r="O39" s="382"/>
      <c r="P39" s="382"/>
      <c r="R39" s="19" t="s">
        <v>126</v>
      </c>
      <c r="S39" s="19"/>
      <c r="T39" s="467">
        <v>4.6129120723613429E-2</v>
      </c>
      <c r="AE39" s="466" t="s">
        <v>126</v>
      </c>
      <c r="AF39" s="467">
        <v>5.6129120723613431E-2</v>
      </c>
    </row>
    <row r="40" spans="1:42" ht="13.9">
      <c r="B40" s="278" t="s">
        <v>158</v>
      </c>
      <c r="C40" s="278" t="s">
        <v>177</v>
      </c>
      <c r="L40" s="382"/>
      <c r="M40" s="382"/>
      <c r="N40" s="382"/>
      <c r="O40" s="382"/>
      <c r="P40" s="382"/>
      <c r="R40" s="19" t="s">
        <v>127</v>
      </c>
      <c r="S40" s="19"/>
      <c r="T40" s="467">
        <v>4.6129120723613429E-2</v>
      </c>
      <c r="AE40" s="466" t="s">
        <v>127</v>
      </c>
      <c r="AF40" s="467">
        <v>4.6129120723613429E-2</v>
      </c>
    </row>
    <row r="41" spans="1:42">
      <c r="B41" s="278" t="s">
        <v>161</v>
      </c>
      <c r="C41" s="278" t="s">
        <v>178</v>
      </c>
      <c r="L41" s="382"/>
      <c r="M41" s="382"/>
      <c r="N41" s="382"/>
      <c r="O41" s="382"/>
      <c r="P41" s="382"/>
    </row>
    <row r="42" spans="1:42">
      <c r="B42" s="278" t="s">
        <v>162</v>
      </c>
      <c r="C42" s="278" t="s">
        <v>179</v>
      </c>
      <c r="L42" s="382"/>
      <c r="M42" s="382"/>
      <c r="N42" s="382"/>
      <c r="O42" s="382"/>
      <c r="P42" s="382"/>
    </row>
    <row r="43" spans="1:42">
      <c r="B43" s="278" t="s">
        <v>163</v>
      </c>
      <c r="C43" s="278" t="s">
        <v>180</v>
      </c>
      <c r="L43" s="382"/>
      <c r="M43" s="382"/>
      <c r="N43" s="382"/>
      <c r="O43" s="382"/>
      <c r="P43" s="382"/>
    </row>
    <row r="44" spans="1:42">
      <c r="B44" s="278" t="s">
        <v>165</v>
      </c>
      <c r="C44" s="278" t="s">
        <v>181</v>
      </c>
      <c r="L44" s="382"/>
      <c r="M44" s="382"/>
      <c r="N44" s="382"/>
      <c r="O44" s="382"/>
      <c r="P44" s="382"/>
    </row>
    <row r="45" spans="1:42">
      <c r="B45" s="278" t="s">
        <v>166</v>
      </c>
      <c r="C45" s="278" t="s">
        <v>182</v>
      </c>
      <c r="L45" s="382"/>
      <c r="M45" s="382"/>
      <c r="N45" s="382"/>
      <c r="O45" s="382"/>
      <c r="P45" s="382"/>
    </row>
    <row r="46" spans="1:42">
      <c r="L46" s="382"/>
      <c r="M46" s="382"/>
      <c r="N46" s="382"/>
      <c r="O46" s="382"/>
      <c r="P46" s="382"/>
    </row>
    <row r="47" spans="1:42">
      <c r="L47" s="382"/>
      <c r="M47" s="382"/>
      <c r="N47" s="382"/>
      <c r="O47" s="382"/>
      <c r="P47" s="382"/>
    </row>
    <row r="48" spans="1:42">
      <c r="L48" s="382"/>
      <c r="M48" s="382"/>
      <c r="N48" s="382"/>
      <c r="O48" s="382"/>
      <c r="P48" s="382"/>
    </row>
    <row r="49" spans="12:16">
      <c r="L49" s="382"/>
      <c r="M49" s="382"/>
      <c r="N49" s="382"/>
      <c r="O49" s="382"/>
      <c r="P49" s="382"/>
    </row>
    <row r="50" spans="12:16">
      <c r="L50" s="382"/>
      <c r="M50" s="382"/>
      <c r="N50" s="382"/>
      <c r="O50" s="382"/>
      <c r="P50" s="382"/>
    </row>
    <row r="51" spans="12:16">
      <c r="L51" s="382"/>
      <c r="M51" s="382"/>
      <c r="N51" s="382"/>
      <c r="O51" s="382"/>
      <c r="P51" s="382"/>
    </row>
    <row r="52" spans="12:16">
      <c r="L52" s="382"/>
      <c r="M52" s="382"/>
      <c r="N52" s="382"/>
      <c r="O52" s="382"/>
      <c r="P52" s="382"/>
    </row>
    <row r="53" spans="12:16">
      <c r="L53" s="382"/>
      <c r="M53" s="382"/>
      <c r="N53" s="382"/>
      <c r="O53" s="382"/>
      <c r="P53" s="382"/>
    </row>
    <row r="54" spans="12:16">
      <c r="L54" s="382"/>
      <c r="M54" s="382"/>
      <c r="N54" s="382"/>
      <c r="O54" s="382"/>
      <c r="P54" s="382"/>
    </row>
    <row r="55" spans="12:16">
      <c r="L55" s="382"/>
      <c r="M55" s="382"/>
      <c r="N55" s="382"/>
      <c r="O55" s="382"/>
      <c r="P55" s="382"/>
    </row>
    <row r="56" spans="12:16">
      <c r="L56" s="382"/>
      <c r="M56" s="382"/>
      <c r="N56" s="382"/>
      <c r="O56" s="382"/>
      <c r="P56" s="382"/>
    </row>
    <row r="57" spans="12:16">
      <c r="L57" s="382"/>
      <c r="M57" s="382"/>
      <c r="N57" s="382"/>
      <c r="O57" s="382"/>
      <c r="P57" s="382"/>
    </row>
    <row r="58" spans="12:16">
      <c r="L58" s="382"/>
      <c r="M58" s="382"/>
      <c r="N58" s="382"/>
      <c r="O58" s="382"/>
      <c r="P58" s="382"/>
    </row>
    <row r="59" spans="12:16">
      <c r="L59" s="382"/>
      <c r="M59" s="382"/>
      <c r="N59" s="382"/>
      <c r="O59" s="382"/>
      <c r="P59" s="382"/>
    </row>
    <row r="60" spans="12:16">
      <c r="L60" s="382"/>
      <c r="M60" s="382"/>
      <c r="N60" s="382"/>
      <c r="O60" s="382"/>
      <c r="P60" s="382"/>
    </row>
    <row r="61" spans="12:16">
      <c r="L61" s="382"/>
      <c r="M61" s="382"/>
      <c r="N61" s="382"/>
      <c r="O61" s="382"/>
      <c r="P61" s="382"/>
    </row>
  </sheetData>
  <mergeCells count="31">
    <mergeCell ref="AE6:AE7"/>
    <mergeCell ref="G6:G7"/>
    <mergeCell ref="A6:A7"/>
    <mergeCell ref="B6:B7"/>
    <mergeCell ref="C6:C7"/>
    <mergeCell ref="D6:D7"/>
    <mergeCell ref="E6:E7"/>
    <mergeCell ref="F6:F7"/>
    <mergeCell ref="H6:H7"/>
    <mergeCell ref="X6:X7"/>
    <mergeCell ref="AA6:AA7"/>
    <mergeCell ref="R6:R7"/>
    <mergeCell ref="O6:O7"/>
    <mergeCell ref="P6:P7"/>
    <mergeCell ref="J6:J7"/>
    <mergeCell ref="K6:K7"/>
    <mergeCell ref="L6:L7"/>
    <mergeCell ref="M6:M7"/>
    <mergeCell ref="N6:N7"/>
    <mergeCell ref="AB6:AB7"/>
    <mergeCell ref="AC6:AC7"/>
    <mergeCell ref="Z6:Z7"/>
    <mergeCell ref="W6:W7"/>
    <mergeCell ref="Y6:Y7"/>
    <mergeCell ref="AO6:AO7"/>
    <mergeCell ref="AP6:AP7"/>
    <mergeCell ref="AJ6:AJ7"/>
    <mergeCell ref="AK6:AK7"/>
    <mergeCell ref="AL6:AL7"/>
    <mergeCell ref="AM6:AM7"/>
    <mergeCell ref="AN6:AN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9"/>
  <sheetViews>
    <sheetView topLeftCell="Y1" zoomScale="85" zoomScaleNormal="85" workbookViewId="0">
      <selection activeCell="AB3" sqref="AB3:AB4"/>
    </sheetView>
  </sheetViews>
  <sheetFormatPr defaultColWidth="8.7109375" defaultRowHeight="13.15"/>
  <cols>
    <col min="1" max="1" width="8.7109375" style="252"/>
    <col min="2" max="2" width="8.5703125" style="252" bestFit="1" customWidth="1"/>
    <col min="3" max="3" width="27.7109375" style="252" bestFit="1" customWidth="1"/>
    <col min="4" max="10" width="22.28515625" style="252" customWidth="1"/>
    <col min="11" max="15" width="15.28515625" style="252" customWidth="1"/>
    <col min="16" max="16" width="16.7109375" style="252" bestFit="1" customWidth="1"/>
    <col min="17" max="17" width="15.28515625" style="252" customWidth="1"/>
    <col min="18" max="18" width="14.140625" style="252" customWidth="1"/>
    <col min="19" max="19" width="48.7109375" style="252" bestFit="1" customWidth="1"/>
    <col min="20" max="20" width="19.85546875" style="252" bestFit="1" customWidth="1"/>
    <col min="21" max="21" width="32" style="252" customWidth="1"/>
    <col min="22" max="22" width="10.28515625" style="252" bestFit="1" customWidth="1"/>
    <col min="23" max="23" width="32" style="252" customWidth="1"/>
    <col min="24" max="24" width="10.7109375" style="252" bestFit="1" customWidth="1"/>
    <col min="25" max="25" width="16.42578125" style="252" bestFit="1" customWidth="1"/>
    <col min="26" max="26" width="17.7109375" style="252" bestFit="1" customWidth="1"/>
    <col min="27" max="27" width="9.140625" style="252" bestFit="1" customWidth="1"/>
    <col min="28" max="28" width="26.7109375" style="252" bestFit="1" customWidth="1"/>
    <col min="29" max="29" width="9.5703125" style="252" bestFit="1" customWidth="1"/>
    <col min="30" max="30" width="13.28515625" style="252" bestFit="1" customWidth="1"/>
    <col min="31" max="31" width="20.28515625" style="252" bestFit="1" customWidth="1"/>
    <col min="32" max="32" width="26.140625" style="252" customWidth="1"/>
    <col min="33" max="34" width="8.7109375" style="252"/>
    <col min="35" max="35" width="8.85546875" style="252" customWidth="1"/>
    <col min="36" max="36" width="39.5703125" style="252" bestFit="1" customWidth="1"/>
    <col min="37" max="37" width="22.28515625" style="252" customWidth="1"/>
    <col min="38" max="16384" width="8.7109375" style="252"/>
  </cols>
  <sheetData>
    <row r="1" spans="1:34">
      <c r="A1" s="779" t="s">
        <v>183</v>
      </c>
      <c r="B1" s="256" t="s">
        <v>184</v>
      </c>
      <c r="R1" s="256" t="s">
        <v>185</v>
      </c>
      <c r="S1"/>
      <c r="T1"/>
    </row>
    <row r="2" spans="1:34" ht="14.45">
      <c r="A2" s="779"/>
      <c r="B2" s="780" t="s">
        <v>2</v>
      </c>
      <c r="C2" s="777" t="s">
        <v>53</v>
      </c>
      <c r="D2" s="778" t="s">
        <v>186</v>
      </c>
      <c r="E2" s="778"/>
      <c r="F2" s="778"/>
      <c r="G2" s="778"/>
      <c r="H2" s="778"/>
      <c r="I2" s="778"/>
      <c r="J2" s="778"/>
      <c r="K2" s="778"/>
      <c r="L2" s="778"/>
      <c r="M2" s="778"/>
      <c r="N2" s="778"/>
      <c r="O2" s="778"/>
      <c r="P2" s="419"/>
      <c r="R2" s="423" t="s">
        <v>187</v>
      </c>
      <c r="S2"/>
      <c r="T2"/>
      <c r="V2" s="432" t="s">
        <v>101</v>
      </c>
      <c r="AE2" s="306" t="s">
        <v>127</v>
      </c>
      <c r="AF2" s="272">
        <v>4.6129120723613429E-2</v>
      </c>
    </row>
    <row r="3" spans="1:34">
      <c r="A3" s="779"/>
      <c r="B3" s="780"/>
      <c r="C3" s="777"/>
      <c r="D3" s="419" t="s">
        <v>188</v>
      </c>
      <c r="E3" s="419" t="s">
        <v>189</v>
      </c>
      <c r="F3" s="419" t="s">
        <v>190</v>
      </c>
      <c r="G3" s="419" t="s">
        <v>191</v>
      </c>
      <c r="H3" s="419" t="s">
        <v>192</v>
      </c>
      <c r="I3" s="419" t="s">
        <v>193</v>
      </c>
      <c r="J3" s="419" t="s">
        <v>194</v>
      </c>
      <c r="K3" s="419" t="s">
        <v>195</v>
      </c>
      <c r="L3" s="419" t="s">
        <v>196</v>
      </c>
      <c r="M3" s="419" t="s">
        <v>197</v>
      </c>
      <c r="N3" s="419" t="s">
        <v>198</v>
      </c>
      <c r="O3" s="419" t="s">
        <v>199</v>
      </c>
      <c r="P3" s="419" t="s">
        <v>200</v>
      </c>
      <c r="R3" s="424" t="s">
        <v>201</v>
      </c>
      <c r="S3" s="424" t="s">
        <v>202</v>
      </c>
      <c r="T3" s="424" t="s">
        <v>203</v>
      </c>
      <c r="V3" s="776" t="s">
        <v>2</v>
      </c>
      <c r="W3" s="777" t="s">
        <v>53</v>
      </c>
      <c r="X3" s="419" t="s">
        <v>188</v>
      </c>
      <c r="Y3" s="419" t="s">
        <v>190</v>
      </c>
      <c r="Z3" s="419" t="s">
        <v>193</v>
      </c>
      <c r="AA3" s="419" t="s">
        <v>197</v>
      </c>
      <c r="AB3" s="777" t="s">
        <v>204</v>
      </c>
      <c r="AD3" s="776" t="s">
        <v>2</v>
      </c>
      <c r="AE3" s="777" t="s">
        <v>53</v>
      </c>
      <c r="AF3" s="776" t="s">
        <v>205</v>
      </c>
    </row>
    <row r="4" spans="1:34">
      <c r="A4" s="779"/>
      <c r="B4" s="430">
        <v>1</v>
      </c>
      <c r="C4" s="420" t="s">
        <v>138</v>
      </c>
      <c r="D4" s="421">
        <v>175595</v>
      </c>
      <c r="E4" s="421">
        <v>175595</v>
      </c>
      <c r="F4" s="421">
        <v>149945</v>
      </c>
      <c r="G4" s="421">
        <v>149945</v>
      </c>
      <c r="H4" s="421">
        <v>149945</v>
      </c>
      <c r="I4" s="421">
        <v>132650</v>
      </c>
      <c r="J4" s="421">
        <v>132650</v>
      </c>
      <c r="K4" s="421">
        <v>132650</v>
      </c>
      <c r="L4" s="421">
        <v>132650</v>
      </c>
      <c r="M4" s="421">
        <v>121055</v>
      </c>
      <c r="N4" s="421">
        <v>121055</v>
      </c>
      <c r="O4" s="421">
        <v>121055</v>
      </c>
      <c r="P4" s="421">
        <v>2222086</v>
      </c>
      <c r="R4" s="425">
        <v>1</v>
      </c>
      <c r="S4" s="425" t="s">
        <v>206</v>
      </c>
      <c r="T4" s="425">
        <v>1</v>
      </c>
      <c r="V4" s="776"/>
      <c r="W4" s="777"/>
      <c r="X4" s="431">
        <v>1</v>
      </c>
      <c r="Y4" s="431">
        <v>2</v>
      </c>
      <c r="Z4" s="431">
        <v>2</v>
      </c>
      <c r="AA4" s="431">
        <v>2</v>
      </c>
      <c r="AB4" s="777"/>
      <c r="AD4" s="776"/>
      <c r="AE4" s="777"/>
      <c r="AF4" s="776"/>
    </row>
    <row r="5" spans="1:34">
      <c r="A5" s="779"/>
      <c r="B5" s="430">
        <v>2</v>
      </c>
      <c r="C5" s="420" t="s">
        <v>140</v>
      </c>
      <c r="D5" s="421">
        <v>87797.5</v>
      </c>
      <c r="E5" s="421">
        <v>87797.5</v>
      </c>
      <c r="F5" s="421">
        <v>74972.5</v>
      </c>
      <c r="G5" s="421">
        <v>74972.5</v>
      </c>
      <c r="H5" s="421">
        <v>74972.5</v>
      </c>
      <c r="I5" s="421">
        <v>66325</v>
      </c>
      <c r="J5" s="421">
        <v>66325</v>
      </c>
      <c r="K5" s="421">
        <v>66325</v>
      </c>
      <c r="L5" s="421">
        <v>66325</v>
      </c>
      <c r="M5" s="421">
        <v>60527.5</v>
      </c>
      <c r="N5" s="421">
        <v>60527.5</v>
      </c>
      <c r="O5" s="421">
        <v>60527.5</v>
      </c>
      <c r="P5" s="421">
        <v>1111048</v>
      </c>
      <c r="R5" s="425">
        <v>2</v>
      </c>
      <c r="S5" s="425" t="s">
        <v>207</v>
      </c>
      <c r="T5" s="425">
        <v>1</v>
      </c>
      <c r="V5" s="257">
        <v>1</v>
      </c>
      <c r="W5" s="420" t="s">
        <v>138</v>
      </c>
      <c r="X5" s="421">
        <f t="shared" ref="X5:AA12" si="0">VLOOKUP($W5,$C$4:$O$11,MATCH(X$3,$D$3:$O$3,0)+1,0)*X$4</f>
        <v>175595</v>
      </c>
      <c r="Y5" s="421">
        <f t="shared" si="0"/>
        <v>299890</v>
      </c>
      <c r="Z5" s="421">
        <f t="shared" si="0"/>
        <v>265300</v>
      </c>
      <c r="AA5" s="421">
        <f t="shared" si="0"/>
        <v>242110</v>
      </c>
      <c r="AB5" s="421">
        <f>SUM(X5:AA5)+P4</f>
        <v>3204981</v>
      </c>
      <c r="AD5" s="257">
        <v>1</v>
      </c>
      <c r="AE5" s="420" t="s">
        <v>138</v>
      </c>
      <c r="AF5" s="421">
        <f>AB5*$AF$2+AB5</f>
        <v>3352823.9554658872</v>
      </c>
    </row>
    <row r="6" spans="1:34">
      <c r="A6" s="779"/>
      <c r="B6" s="430">
        <v>3</v>
      </c>
      <c r="C6" s="420" t="s">
        <v>141</v>
      </c>
      <c r="D6" s="421">
        <v>47410.65</v>
      </c>
      <c r="E6" s="421">
        <v>47410.65</v>
      </c>
      <c r="F6" s="421">
        <v>40485.15</v>
      </c>
      <c r="G6" s="421">
        <v>40485.15</v>
      </c>
      <c r="H6" s="421">
        <v>40485.15</v>
      </c>
      <c r="I6" s="421">
        <v>35815.5</v>
      </c>
      <c r="J6" s="421">
        <v>35815.5</v>
      </c>
      <c r="K6" s="421">
        <v>35815.5</v>
      </c>
      <c r="L6" s="421">
        <v>35815.5</v>
      </c>
      <c r="M6" s="421">
        <v>32684.850000000002</v>
      </c>
      <c r="N6" s="421">
        <v>32684.850000000002</v>
      </c>
      <c r="O6" s="421">
        <v>32684.850000000002</v>
      </c>
      <c r="P6" s="421">
        <v>599962</v>
      </c>
      <c r="R6" s="425">
        <v>3</v>
      </c>
      <c r="S6" s="425" t="s">
        <v>208</v>
      </c>
      <c r="T6" s="425">
        <v>1</v>
      </c>
      <c r="V6" s="257">
        <v>2</v>
      </c>
      <c r="W6" s="420" t="s">
        <v>140</v>
      </c>
      <c r="X6" s="421">
        <f t="shared" si="0"/>
        <v>87797.5</v>
      </c>
      <c r="Y6" s="421">
        <f t="shared" si="0"/>
        <v>149945</v>
      </c>
      <c r="Z6" s="421">
        <f t="shared" si="0"/>
        <v>132650</v>
      </c>
      <c r="AA6" s="421">
        <f t="shared" si="0"/>
        <v>121055</v>
      </c>
      <c r="AB6" s="421">
        <f t="shared" ref="AB6:AB12" si="1">SUM(X6:AA6)+P5</f>
        <v>1602495.5</v>
      </c>
      <c r="AD6" s="257">
        <v>2</v>
      </c>
      <c r="AE6" s="420" t="s">
        <v>140</v>
      </c>
      <c r="AF6" s="421">
        <f t="shared" ref="AF6:AF12" si="2">AB6*$AF$2+AB6</f>
        <v>1676417.2083785473</v>
      </c>
    </row>
    <row r="7" spans="1:34">
      <c r="A7" s="779"/>
      <c r="B7" s="430">
        <v>4</v>
      </c>
      <c r="C7" s="420" t="s">
        <v>142</v>
      </c>
      <c r="D7" s="421">
        <v>16000</v>
      </c>
      <c r="E7" s="421">
        <v>16000</v>
      </c>
      <c r="F7" s="421">
        <v>6000</v>
      </c>
      <c r="G7" s="421">
        <v>6000</v>
      </c>
      <c r="H7" s="421">
        <v>6000</v>
      </c>
      <c r="I7" s="421"/>
      <c r="J7" s="421"/>
      <c r="K7" s="421"/>
      <c r="L7" s="421"/>
      <c r="M7" s="421"/>
      <c r="N7" s="421"/>
      <c r="O7" s="421"/>
      <c r="P7" s="421"/>
      <c r="R7" s="425">
        <v>4</v>
      </c>
      <c r="S7" s="425" t="s">
        <v>209</v>
      </c>
      <c r="T7" s="425">
        <v>1</v>
      </c>
      <c r="V7" s="257">
        <v>3</v>
      </c>
      <c r="W7" s="420" t="s">
        <v>141</v>
      </c>
      <c r="X7" s="421">
        <f t="shared" si="0"/>
        <v>47410.65</v>
      </c>
      <c r="Y7" s="421">
        <f t="shared" si="0"/>
        <v>80970.3</v>
      </c>
      <c r="Z7" s="421">
        <f t="shared" si="0"/>
        <v>71631</v>
      </c>
      <c r="AA7" s="421">
        <f t="shared" si="0"/>
        <v>65369.700000000004</v>
      </c>
      <c r="AB7" s="421">
        <f t="shared" si="1"/>
        <v>865343.65</v>
      </c>
      <c r="AD7" s="257">
        <v>3</v>
      </c>
      <c r="AE7" s="420" t="s">
        <v>141</v>
      </c>
      <c r="AF7" s="421">
        <f t="shared" si="2"/>
        <v>905261.19169826235</v>
      </c>
    </row>
    <row r="8" spans="1:34">
      <c r="A8" s="779"/>
      <c r="B8" s="430">
        <v>5</v>
      </c>
      <c r="C8" s="420" t="s">
        <v>143</v>
      </c>
      <c r="D8" s="421"/>
      <c r="E8" s="421"/>
      <c r="F8" s="421"/>
      <c r="G8" s="421"/>
      <c r="H8" s="421"/>
      <c r="I8" s="421"/>
      <c r="J8" s="421"/>
      <c r="K8" s="421"/>
      <c r="L8" s="421"/>
      <c r="M8" s="421"/>
      <c r="N8" s="421"/>
      <c r="O8" s="421"/>
      <c r="P8" s="421"/>
      <c r="R8" s="425">
        <v>5</v>
      </c>
      <c r="S8" s="425" t="s">
        <v>210</v>
      </c>
      <c r="T8" s="425">
        <v>1</v>
      </c>
      <c r="V8" s="257">
        <v>4</v>
      </c>
      <c r="W8" s="420" t="s">
        <v>142</v>
      </c>
      <c r="X8" s="421">
        <f t="shared" si="0"/>
        <v>16000</v>
      </c>
      <c r="Y8" s="421">
        <f t="shared" si="0"/>
        <v>12000</v>
      </c>
      <c r="Z8" s="421">
        <f t="shared" si="0"/>
        <v>0</v>
      </c>
      <c r="AA8" s="421">
        <f t="shared" si="0"/>
        <v>0</v>
      </c>
      <c r="AB8" s="421">
        <f t="shared" si="1"/>
        <v>28000</v>
      </c>
      <c r="AD8" s="257">
        <v>4</v>
      </c>
      <c r="AE8" s="420" t="s">
        <v>142</v>
      </c>
      <c r="AF8" s="421">
        <f t="shared" si="2"/>
        <v>29291.615380261177</v>
      </c>
    </row>
    <row r="9" spans="1:34">
      <c r="A9" s="779"/>
      <c r="B9" s="430">
        <v>6</v>
      </c>
      <c r="C9" s="420" t="s">
        <v>145</v>
      </c>
      <c r="D9" s="421"/>
      <c r="E9" s="421"/>
      <c r="F9" s="421"/>
      <c r="G9" s="421"/>
      <c r="H9" s="421"/>
      <c r="I9" s="421"/>
      <c r="J9" s="421"/>
      <c r="K9" s="421"/>
      <c r="L9" s="421"/>
      <c r="M9" s="421"/>
      <c r="N9" s="421"/>
      <c r="O9" s="421"/>
      <c r="P9" s="421"/>
      <c r="R9" s="425">
        <v>6</v>
      </c>
      <c r="S9" s="425" t="s">
        <v>211</v>
      </c>
      <c r="T9" s="425">
        <v>1</v>
      </c>
      <c r="V9" s="257">
        <v>5</v>
      </c>
      <c r="W9" s="420" t="s">
        <v>143</v>
      </c>
      <c r="X9" s="421">
        <f t="shared" si="0"/>
        <v>0</v>
      </c>
      <c r="Y9" s="421">
        <f t="shared" si="0"/>
        <v>0</v>
      </c>
      <c r="Z9" s="421">
        <f t="shared" si="0"/>
        <v>0</v>
      </c>
      <c r="AA9" s="421">
        <f t="shared" si="0"/>
        <v>0</v>
      </c>
      <c r="AB9" s="421">
        <f t="shared" si="1"/>
        <v>0</v>
      </c>
      <c r="AD9" s="257">
        <v>5</v>
      </c>
      <c r="AE9" s="420" t="s">
        <v>143</v>
      </c>
      <c r="AF9" s="421">
        <f t="shared" si="2"/>
        <v>0</v>
      </c>
    </row>
    <row r="10" spans="1:34">
      <c r="A10" s="779"/>
      <c r="B10" s="430">
        <v>7</v>
      </c>
      <c r="C10" s="420" t="s">
        <v>146</v>
      </c>
      <c r="D10" s="421">
        <v>33445</v>
      </c>
      <c r="E10" s="421">
        <v>33445</v>
      </c>
      <c r="F10" s="421">
        <v>26970</v>
      </c>
      <c r="G10" s="421">
        <v>26970</v>
      </c>
      <c r="H10" s="421">
        <v>26970</v>
      </c>
      <c r="I10" s="421">
        <v>4205</v>
      </c>
      <c r="J10" s="421">
        <v>4205</v>
      </c>
      <c r="K10" s="421">
        <v>4205</v>
      </c>
      <c r="L10" s="421">
        <v>4205</v>
      </c>
      <c r="M10" s="421">
        <v>4060</v>
      </c>
      <c r="N10" s="421">
        <v>4060</v>
      </c>
      <c r="O10" s="421">
        <v>4060</v>
      </c>
      <c r="P10" s="421">
        <f>383172+794008+19000</f>
        <v>1196180</v>
      </c>
      <c r="R10" s="425">
        <v>7</v>
      </c>
      <c r="S10" s="425" t="s">
        <v>212</v>
      </c>
      <c r="T10" s="425">
        <v>1</v>
      </c>
      <c r="V10" s="257">
        <v>6</v>
      </c>
      <c r="W10" s="420" t="s">
        <v>145</v>
      </c>
      <c r="X10" s="421">
        <f t="shared" si="0"/>
        <v>0</v>
      </c>
      <c r="Y10" s="421">
        <f t="shared" si="0"/>
        <v>0</v>
      </c>
      <c r="Z10" s="421">
        <f t="shared" si="0"/>
        <v>0</v>
      </c>
      <c r="AA10" s="421">
        <f t="shared" si="0"/>
        <v>0</v>
      </c>
      <c r="AB10" s="421">
        <f t="shared" si="1"/>
        <v>0</v>
      </c>
      <c r="AD10" s="257">
        <v>6</v>
      </c>
      <c r="AE10" s="420" t="s">
        <v>145</v>
      </c>
      <c r="AF10" s="421">
        <f t="shared" si="2"/>
        <v>0</v>
      </c>
    </row>
    <row r="11" spans="1:34">
      <c r="A11" s="779"/>
      <c r="B11" s="430">
        <v>12</v>
      </c>
      <c r="C11" s="420" t="s">
        <v>155</v>
      </c>
      <c r="D11" s="421">
        <v>40</v>
      </c>
      <c r="E11" s="421">
        <v>40</v>
      </c>
      <c r="F11" s="421">
        <v>40</v>
      </c>
      <c r="G11" s="421">
        <v>40</v>
      </c>
      <c r="H11" s="421">
        <v>40</v>
      </c>
      <c r="I11" s="421">
        <v>40</v>
      </c>
      <c r="J11" s="421">
        <v>40</v>
      </c>
      <c r="K11" s="421">
        <v>40</v>
      </c>
      <c r="L11" s="421">
        <v>40</v>
      </c>
      <c r="M11" s="421">
        <v>40</v>
      </c>
      <c r="N11" s="421">
        <v>40</v>
      </c>
      <c r="O11" s="421">
        <v>40</v>
      </c>
      <c r="P11" s="421">
        <v>480</v>
      </c>
      <c r="R11" s="426"/>
      <c r="S11" s="427" t="s">
        <v>213</v>
      </c>
      <c r="T11" s="427">
        <v>7</v>
      </c>
      <c r="V11" s="257">
        <v>7</v>
      </c>
      <c r="W11" s="420" t="s">
        <v>146</v>
      </c>
      <c r="X11" s="421">
        <f t="shared" si="0"/>
        <v>33445</v>
      </c>
      <c r="Y11" s="421">
        <f t="shared" si="0"/>
        <v>53940</v>
      </c>
      <c r="Z11" s="421">
        <f t="shared" si="0"/>
        <v>8410</v>
      </c>
      <c r="AA11" s="421">
        <f t="shared" si="0"/>
        <v>8120</v>
      </c>
      <c r="AB11" s="421">
        <f t="shared" si="1"/>
        <v>1300095</v>
      </c>
      <c r="AD11" s="257">
        <v>7</v>
      </c>
      <c r="AE11" s="420" t="s">
        <v>146</v>
      </c>
      <c r="AF11" s="421">
        <f t="shared" si="2"/>
        <v>1360067.2392071662</v>
      </c>
    </row>
    <row r="12" spans="1:34">
      <c r="P12" s="473"/>
      <c r="V12" s="257">
        <v>12</v>
      </c>
      <c r="W12" s="420" t="s">
        <v>155</v>
      </c>
      <c r="X12" s="421">
        <f t="shared" si="0"/>
        <v>40</v>
      </c>
      <c r="Y12" s="421">
        <f t="shared" si="0"/>
        <v>80</v>
      </c>
      <c r="Z12" s="421">
        <f t="shared" si="0"/>
        <v>80</v>
      </c>
      <c r="AA12" s="421">
        <f t="shared" si="0"/>
        <v>80</v>
      </c>
      <c r="AB12" s="421">
        <f t="shared" si="1"/>
        <v>760</v>
      </c>
      <c r="AD12" s="257">
        <v>12</v>
      </c>
      <c r="AE12" s="420" t="s">
        <v>155</v>
      </c>
      <c r="AF12" s="421">
        <f t="shared" si="2"/>
        <v>795.05813174994626</v>
      </c>
    </row>
    <row r="13" spans="1:34">
      <c r="R13" s="256" t="s">
        <v>214</v>
      </c>
      <c r="S13"/>
      <c r="T13"/>
      <c r="AF13" s="473"/>
      <c r="AG13" s="471"/>
      <c r="AH13" s="473"/>
    </row>
    <row r="14" spans="1:34">
      <c r="B14" s="256" t="s">
        <v>215</v>
      </c>
      <c r="R14" s="256" t="s">
        <v>187</v>
      </c>
      <c r="T14"/>
    </row>
    <row r="15" spans="1:34">
      <c r="B15" s="415" t="s">
        <v>216</v>
      </c>
      <c r="R15" s="424" t="s">
        <v>201</v>
      </c>
      <c r="S15" s="424" t="s">
        <v>202</v>
      </c>
      <c r="T15" s="424" t="s">
        <v>203</v>
      </c>
      <c r="V15" s="252" t="s">
        <v>217</v>
      </c>
    </row>
    <row r="16" spans="1:34">
      <c r="B16" s="776" t="s">
        <v>2</v>
      </c>
      <c r="C16" s="777" t="s">
        <v>53</v>
      </c>
      <c r="D16" s="778" t="s">
        <v>186</v>
      </c>
      <c r="E16" s="778"/>
      <c r="F16" s="778"/>
      <c r="G16" s="778"/>
      <c r="H16" s="778"/>
      <c r="I16" s="778"/>
      <c r="J16" s="778"/>
      <c r="R16" s="425">
        <v>1</v>
      </c>
      <c r="S16" s="425" t="s">
        <v>218</v>
      </c>
      <c r="T16" s="425">
        <v>1</v>
      </c>
      <c r="V16" s="776" t="s">
        <v>2</v>
      </c>
      <c r="W16" s="777" t="s">
        <v>53</v>
      </c>
      <c r="X16" s="419" t="s">
        <v>188</v>
      </c>
      <c r="Y16" s="419" t="s">
        <v>190</v>
      </c>
      <c r="Z16" s="419" t="s">
        <v>193</v>
      </c>
      <c r="AA16" s="419" t="s">
        <v>197</v>
      </c>
      <c r="AB16" s="777" t="s">
        <v>219</v>
      </c>
    </row>
    <row r="17" spans="2:37">
      <c r="B17" s="776"/>
      <c r="C17" s="777"/>
      <c r="D17" s="419" t="s">
        <v>220</v>
      </c>
      <c r="E17" s="419" t="s">
        <v>221</v>
      </c>
      <c r="F17" s="419" t="s">
        <v>222</v>
      </c>
      <c r="G17" s="419" t="s">
        <v>223</v>
      </c>
      <c r="H17" s="419" t="s">
        <v>224</v>
      </c>
      <c r="I17" s="419" t="s">
        <v>225</v>
      </c>
      <c r="J17" s="419" t="s">
        <v>226</v>
      </c>
      <c r="R17" s="425">
        <v>2</v>
      </c>
      <c r="S17" s="425" t="s">
        <v>227</v>
      </c>
      <c r="T17" s="425">
        <v>1</v>
      </c>
      <c r="V17" s="776"/>
      <c r="W17" s="777"/>
      <c r="X17" s="431">
        <v>1</v>
      </c>
      <c r="Y17" s="431">
        <v>1</v>
      </c>
      <c r="Z17" s="431">
        <v>2</v>
      </c>
      <c r="AA17" s="431">
        <v>1</v>
      </c>
      <c r="AB17" s="777"/>
    </row>
    <row r="18" spans="2:37">
      <c r="B18" s="257">
        <v>1</v>
      </c>
      <c r="C18" s="420" t="s">
        <v>138</v>
      </c>
      <c r="D18" s="422">
        <v>166800</v>
      </c>
      <c r="E18" s="422">
        <v>94555</v>
      </c>
      <c r="F18" s="422">
        <v>87455</v>
      </c>
      <c r="G18" s="422">
        <v>87455</v>
      </c>
      <c r="H18" s="422">
        <v>59035</v>
      </c>
      <c r="I18" s="422">
        <v>59035</v>
      </c>
      <c r="J18" s="422">
        <v>120115</v>
      </c>
      <c r="R18" s="425">
        <v>3</v>
      </c>
      <c r="S18" s="425" t="s">
        <v>228</v>
      </c>
      <c r="T18" s="425">
        <v>2</v>
      </c>
      <c r="V18" s="257">
        <v>1</v>
      </c>
      <c r="W18" s="420" t="s">
        <v>138</v>
      </c>
      <c r="X18" s="421">
        <f t="shared" ref="X18:AA25" si="3">VLOOKUP($W18,$C$4:$O$11,MATCH(X$3,$D$3:$O$3,0)+1,0)*X$17</f>
        <v>175595</v>
      </c>
      <c r="Y18" s="421">
        <f t="shared" si="3"/>
        <v>149945</v>
      </c>
      <c r="Z18" s="421">
        <f t="shared" si="3"/>
        <v>265300</v>
      </c>
      <c r="AA18" s="421">
        <f t="shared" si="3"/>
        <v>121055</v>
      </c>
      <c r="AB18" s="421">
        <v>121055</v>
      </c>
    </row>
    <row r="19" spans="2:37">
      <c r="B19" s="257">
        <v>2</v>
      </c>
      <c r="C19" s="420" t="s">
        <v>140</v>
      </c>
      <c r="D19" s="422">
        <v>83400</v>
      </c>
      <c r="E19" s="422">
        <v>47277.5</v>
      </c>
      <c r="F19" s="422">
        <v>43727.5</v>
      </c>
      <c r="G19" s="422">
        <v>43727.5</v>
      </c>
      <c r="H19" s="422">
        <v>29517.5</v>
      </c>
      <c r="I19" s="422">
        <v>29517.5</v>
      </c>
      <c r="J19" s="422">
        <v>60057.5</v>
      </c>
      <c r="R19" s="425">
        <v>4</v>
      </c>
      <c r="S19" s="425" t="s">
        <v>229</v>
      </c>
      <c r="T19" s="425">
        <v>1</v>
      </c>
      <c r="V19" s="257">
        <v>2</v>
      </c>
      <c r="W19" s="420" t="s">
        <v>140</v>
      </c>
      <c r="X19" s="421">
        <f t="shared" si="3"/>
        <v>87797.5</v>
      </c>
      <c r="Y19" s="421">
        <f t="shared" si="3"/>
        <v>74972.5</v>
      </c>
      <c r="Z19" s="421">
        <f t="shared" si="3"/>
        <v>132650</v>
      </c>
      <c r="AA19" s="421">
        <f t="shared" si="3"/>
        <v>60527.5</v>
      </c>
      <c r="AB19" s="421">
        <v>60527.5</v>
      </c>
    </row>
    <row r="20" spans="2:37">
      <c r="B20" s="257">
        <v>3</v>
      </c>
      <c r="C20" s="420" t="s">
        <v>141</v>
      </c>
      <c r="D20" s="422">
        <v>45036</v>
      </c>
      <c r="E20" s="422">
        <v>25529.850000000002</v>
      </c>
      <c r="F20" s="422">
        <v>23612.850000000002</v>
      </c>
      <c r="G20" s="422">
        <v>23612.850000000002</v>
      </c>
      <c r="H20" s="422">
        <v>15939.45</v>
      </c>
      <c r="I20" s="422">
        <v>15939.45</v>
      </c>
      <c r="J20" s="422">
        <v>32431.050000000003</v>
      </c>
      <c r="R20" s="426"/>
      <c r="S20" s="427" t="s">
        <v>230</v>
      </c>
      <c r="T20" s="427">
        <v>5</v>
      </c>
      <c r="V20" s="257">
        <v>3</v>
      </c>
      <c r="W20" s="420" t="s">
        <v>141</v>
      </c>
      <c r="X20" s="421">
        <f t="shared" si="3"/>
        <v>47410.65</v>
      </c>
      <c r="Y20" s="421">
        <f t="shared" si="3"/>
        <v>40485.15</v>
      </c>
      <c r="Z20" s="421">
        <f t="shared" si="3"/>
        <v>71631</v>
      </c>
      <c r="AA20" s="421">
        <f t="shared" si="3"/>
        <v>32684.850000000002</v>
      </c>
      <c r="AB20" s="421">
        <v>32684.850000000002</v>
      </c>
    </row>
    <row r="21" spans="2:37">
      <c r="B21" s="257">
        <v>4</v>
      </c>
      <c r="C21" s="420" t="s">
        <v>142</v>
      </c>
      <c r="D21" s="422">
        <v>6000</v>
      </c>
      <c r="E21" s="422">
        <v>0</v>
      </c>
      <c r="F21" s="422">
        <v>0</v>
      </c>
      <c r="G21" s="422">
        <v>0</v>
      </c>
      <c r="H21" s="422">
        <v>0</v>
      </c>
      <c r="I21" s="422">
        <v>0</v>
      </c>
      <c r="J21" s="422">
        <v>0</v>
      </c>
      <c r="R21" s="428"/>
      <c r="S21"/>
      <c r="T21"/>
      <c r="V21" s="257">
        <v>4</v>
      </c>
      <c r="W21" s="420" t="s">
        <v>142</v>
      </c>
      <c r="X21" s="421">
        <f t="shared" si="3"/>
        <v>16000</v>
      </c>
      <c r="Y21" s="421">
        <f t="shared" si="3"/>
        <v>6000</v>
      </c>
      <c r="Z21" s="421">
        <f t="shared" si="3"/>
        <v>0</v>
      </c>
      <c r="AA21" s="421">
        <f t="shared" si="3"/>
        <v>0</v>
      </c>
      <c r="AB21" s="421">
        <v>0</v>
      </c>
    </row>
    <row r="22" spans="2:37">
      <c r="B22" s="257">
        <v>5</v>
      </c>
      <c r="C22" s="420" t="s">
        <v>143</v>
      </c>
      <c r="D22" s="422"/>
      <c r="E22" s="422"/>
      <c r="F22" s="422"/>
      <c r="G22" s="422"/>
      <c r="H22" s="422"/>
      <c r="I22" s="422"/>
      <c r="J22" s="422"/>
      <c r="R22" s="423" t="s">
        <v>231</v>
      </c>
      <c r="S22"/>
      <c r="T22"/>
      <c r="V22" s="257">
        <v>5</v>
      </c>
      <c r="W22" s="420" t="s">
        <v>143</v>
      </c>
      <c r="X22" s="421">
        <f t="shared" si="3"/>
        <v>0</v>
      </c>
      <c r="Y22" s="421">
        <f t="shared" si="3"/>
        <v>0</v>
      </c>
      <c r="Z22" s="421">
        <f t="shared" si="3"/>
        <v>0</v>
      </c>
      <c r="AA22" s="421">
        <f t="shared" si="3"/>
        <v>0</v>
      </c>
      <c r="AB22" s="421">
        <v>0</v>
      </c>
    </row>
    <row r="23" spans="2:37">
      <c r="B23" s="257">
        <v>6</v>
      </c>
      <c r="C23" s="420" t="s">
        <v>145</v>
      </c>
      <c r="D23" s="422"/>
      <c r="E23" s="422"/>
      <c r="F23" s="422"/>
      <c r="G23" s="422"/>
      <c r="H23" s="422"/>
      <c r="I23" s="422"/>
      <c r="J23" s="422"/>
      <c r="R23" s="424" t="s">
        <v>201</v>
      </c>
      <c r="S23" s="424" t="s">
        <v>202</v>
      </c>
      <c r="T23" s="424" t="s">
        <v>203</v>
      </c>
      <c r="V23" s="257">
        <v>6</v>
      </c>
      <c r="W23" s="420" t="s">
        <v>145</v>
      </c>
      <c r="X23" s="421">
        <f t="shared" si="3"/>
        <v>0</v>
      </c>
      <c r="Y23" s="421">
        <f t="shared" si="3"/>
        <v>0</v>
      </c>
      <c r="Z23" s="421">
        <f t="shared" si="3"/>
        <v>0</v>
      </c>
      <c r="AA23" s="421">
        <f t="shared" si="3"/>
        <v>0</v>
      </c>
      <c r="AB23" s="421">
        <v>0</v>
      </c>
    </row>
    <row r="24" spans="2:37">
      <c r="B24" s="257">
        <v>7</v>
      </c>
      <c r="C24" s="420" t="s">
        <v>146</v>
      </c>
      <c r="D24" s="422">
        <v>26970</v>
      </c>
      <c r="E24" s="422">
        <v>4060</v>
      </c>
      <c r="F24" s="422">
        <v>2460</v>
      </c>
      <c r="G24" s="422">
        <v>2460</v>
      </c>
      <c r="H24" s="422">
        <v>2335</v>
      </c>
      <c r="I24" s="422">
        <v>2335</v>
      </c>
      <c r="J24" s="422">
        <v>4205</v>
      </c>
      <c r="R24" s="425">
        <v>1</v>
      </c>
      <c r="S24" s="425" t="s">
        <v>232</v>
      </c>
      <c r="T24" s="425">
        <v>1</v>
      </c>
      <c r="V24" s="257">
        <v>7</v>
      </c>
      <c r="W24" s="420" t="s">
        <v>146</v>
      </c>
      <c r="X24" s="421">
        <f t="shared" si="3"/>
        <v>33445</v>
      </c>
      <c r="Y24" s="421">
        <f t="shared" si="3"/>
        <v>26970</v>
      </c>
      <c r="Z24" s="421">
        <f t="shared" si="3"/>
        <v>8410</v>
      </c>
      <c r="AA24" s="421">
        <f t="shared" si="3"/>
        <v>4060</v>
      </c>
      <c r="AB24" s="421">
        <v>4060</v>
      </c>
    </row>
    <row r="25" spans="2:37">
      <c r="B25" s="257">
        <v>12</v>
      </c>
      <c r="C25" s="420" t="s">
        <v>155</v>
      </c>
      <c r="D25" s="422">
        <v>40</v>
      </c>
      <c r="E25" s="422">
        <v>40</v>
      </c>
      <c r="F25" s="422">
        <v>40</v>
      </c>
      <c r="G25" s="422">
        <v>40</v>
      </c>
      <c r="H25" s="422">
        <v>40</v>
      </c>
      <c r="I25" s="422">
        <v>40</v>
      </c>
      <c r="J25" s="422">
        <v>40</v>
      </c>
      <c r="R25" s="425">
        <v>2</v>
      </c>
      <c r="S25" s="425" t="s">
        <v>233</v>
      </c>
      <c r="T25" s="425">
        <v>2</v>
      </c>
      <c r="V25" s="257">
        <v>12</v>
      </c>
      <c r="W25" s="420" t="s">
        <v>155</v>
      </c>
      <c r="X25" s="421">
        <f t="shared" si="3"/>
        <v>40</v>
      </c>
      <c r="Y25" s="421">
        <f t="shared" si="3"/>
        <v>40</v>
      </c>
      <c r="Z25" s="421">
        <f t="shared" si="3"/>
        <v>80</v>
      </c>
      <c r="AA25" s="421">
        <f t="shared" si="3"/>
        <v>40</v>
      </c>
      <c r="AB25" s="421">
        <v>40</v>
      </c>
    </row>
    <row r="26" spans="2:37">
      <c r="R26" s="425">
        <v>3</v>
      </c>
      <c r="S26" s="425" t="s">
        <v>234</v>
      </c>
      <c r="T26" s="425">
        <v>2</v>
      </c>
    </row>
    <row r="27" spans="2:37" ht="13.9">
      <c r="B27" s="415" t="s">
        <v>235</v>
      </c>
      <c r="R27" s="425">
        <v>4</v>
      </c>
      <c r="S27" s="425" t="s">
        <v>236</v>
      </c>
      <c r="T27" s="425">
        <v>1</v>
      </c>
      <c r="V27" s="252" t="s">
        <v>237</v>
      </c>
      <c r="AJ27" s="306" t="s">
        <v>127</v>
      </c>
      <c r="AK27" s="272">
        <v>4.6129120723613429E-2</v>
      </c>
    </row>
    <row r="28" spans="2:37" ht="13.15" customHeight="1">
      <c r="B28" s="776" t="s">
        <v>2</v>
      </c>
      <c r="C28" s="777" t="s">
        <v>53</v>
      </c>
      <c r="D28" s="778" t="s">
        <v>186</v>
      </c>
      <c r="E28" s="778"/>
      <c r="F28" s="778"/>
      <c r="G28" s="778"/>
      <c r="H28" s="778"/>
      <c r="I28" s="778"/>
      <c r="R28" s="425">
        <v>5</v>
      </c>
      <c r="S28" s="425" t="s">
        <v>238</v>
      </c>
      <c r="T28" s="425">
        <v>1</v>
      </c>
      <c r="V28" s="776" t="s">
        <v>2</v>
      </c>
      <c r="W28" s="777" t="s">
        <v>53</v>
      </c>
      <c r="X28" s="419" t="s">
        <v>220</v>
      </c>
      <c r="Y28" s="419" t="s">
        <v>221</v>
      </c>
      <c r="Z28" s="419" t="s">
        <v>222</v>
      </c>
      <c r="AA28" s="419" t="s">
        <v>225</v>
      </c>
      <c r="AB28" s="419" t="s">
        <v>226</v>
      </c>
      <c r="AC28" s="419" t="s">
        <v>239</v>
      </c>
      <c r="AD28" s="419" t="s">
        <v>238</v>
      </c>
      <c r="AE28" s="419" t="s">
        <v>240</v>
      </c>
      <c r="AF28" s="419" t="s">
        <v>241</v>
      </c>
      <c r="AG28" s="777" t="s">
        <v>219</v>
      </c>
      <c r="AI28" s="776" t="s">
        <v>2</v>
      </c>
      <c r="AJ28" s="777" t="s">
        <v>53</v>
      </c>
      <c r="AK28" s="776" t="s">
        <v>242</v>
      </c>
    </row>
    <row r="29" spans="2:37" ht="13.15" customHeight="1">
      <c r="B29" s="776"/>
      <c r="C29" s="777"/>
      <c r="D29" s="419" t="s">
        <v>239</v>
      </c>
      <c r="E29" s="419" t="s">
        <v>238</v>
      </c>
      <c r="F29" s="419" t="s">
        <v>240</v>
      </c>
      <c r="G29" s="419" t="s">
        <v>243</v>
      </c>
      <c r="H29" s="419" t="s">
        <v>241</v>
      </c>
      <c r="I29" s="419" t="s">
        <v>244</v>
      </c>
      <c r="R29" s="425">
        <v>6</v>
      </c>
      <c r="S29" s="425" t="s">
        <v>245</v>
      </c>
      <c r="T29" s="425">
        <v>2</v>
      </c>
      <c r="V29" s="776"/>
      <c r="W29" s="777"/>
      <c r="X29" s="431">
        <v>1</v>
      </c>
      <c r="Y29" s="431">
        <v>0</v>
      </c>
      <c r="Z29" s="431">
        <v>2</v>
      </c>
      <c r="AA29" s="431">
        <v>2</v>
      </c>
      <c r="AB29" s="431">
        <v>1</v>
      </c>
      <c r="AC29" s="431">
        <v>1</v>
      </c>
      <c r="AD29" s="431">
        <v>1</v>
      </c>
      <c r="AE29" s="431">
        <v>2</v>
      </c>
      <c r="AF29" s="431">
        <v>2</v>
      </c>
      <c r="AG29" s="777"/>
      <c r="AI29" s="776"/>
      <c r="AJ29" s="777"/>
      <c r="AK29" s="776"/>
    </row>
    <row r="30" spans="2:37">
      <c r="B30" s="257">
        <v>1</v>
      </c>
      <c r="C30" s="420" t="s">
        <v>138</v>
      </c>
      <c r="D30" s="422">
        <v>166800</v>
      </c>
      <c r="E30" s="422">
        <v>120115</v>
      </c>
      <c r="F30" s="422">
        <v>87455</v>
      </c>
      <c r="G30" s="422">
        <v>87455</v>
      </c>
      <c r="H30" s="422">
        <v>59035</v>
      </c>
      <c r="I30" s="422">
        <v>59035</v>
      </c>
      <c r="R30" s="425">
        <v>7</v>
      </c>
      <c r="S30" s="425" t="s">
        <v>246</v>
      </c>
      <c r="T30" s="425">
        <v>2</v>
      </c>
      <c r="V30" s="257">
        <v>1</v>
      </c>
      <c r="W30" s="420" t="s">
        <v>138</v>
      </c>
      <c r="X30" s="421">
        <f t="shared" ref="X30:AB37" si="4">VLOOKUP($W30,$C$18:$J$25,MATCH(X$28,$D$17:$J$17,0)+1,0)*X$29</f>
        <v>166800</v>
      </c>
      <c r="Y30" s="421">
        <f t="shared" si="4"/>
        <v>0</v>
      </c>
      <c r="Z30" s="421">
        <f t="shared" si="4"/>
        <v>174910</v>
      </c>
      <c r="AA30" s="421">
        <f t="shared" si="4"/>
        <v>118070</v>
      </c>
      <c r="AB30" s="421">
        <f t="shared" si="4"/>
        <v>120115</v>
      </c>
      <c r="AC30" s="421">
        <f t="shared" ref="AC30:AF37" si="5">VLOOKUP($W30,$C$30:$I$37,MATCH(AC$28,$D$29:$I$29,0)+1,0)*AC$29</f>
        <v>166800</v>
      </c>
      <c r="AD30" s="421">
        <f t="shared" si="5"/>
        <v>120115</v>
      </c>
      <c r="AE30" s="421">
        <f t="shared" si="5"/>
        <v>174910</v>
      </c>
      <c r="AF30" s="421">
        <f t="shared" si="5"/>
        <v>118070</v>
      </c>
      <c r="AG30" s="421">
        <f t="shared" ref="AG30:AG37" si="6">SUM(X30:AF30)</f>
        <v>1159790</v>
      </c>
      <c r="AI30" s="257">
        <v>1</v>
      </c>
      <c r="AJ30" s="420" t="s">
        <v>138</v>
      </c>
      <c r="AK30" s="421">
        <f>AG30*(1+$AK$27)*(1+$AK$27)</f>
        <v>1269258.0980932966</v>
      </c>
    </row>
    <row r="31" spans="2:37">
      <c r="B31" s="257">
        <v>2</v>
      </c>
      <c r="C31" s="420" t="s">
        <v>140</v>
      </c>
      <c r="D31" s="422">
        <v>83400</v>
      </c>
      <c r="E31" s="422">
        <v>60057.5</v>
      </c>
      <c r="F31" s="422">
        <v>43727.5</v>
      </c>
      <c r="G31" s="422">
        <v>43727.5</v>
      </c>
      <c r="H31" s="422">
        <v>29517.5</v>
      </c>
      <c r="I31" s="422">
        <v>29517.5</v>
      </c>
      <c r="R31" s="429">
        <v>8</v>
      </c>
      <c r="S31" s="429" t="s">
        <v>226</v>
      </c>
      <c r="T31" s="429">
        <v>1</v>
      </c>
      <c r="V31" s="257">
        <v>2</v>
      </c>
      <c r="W31" s="420" t="s">
        <v>140</v>
      </c>
      <c r="X31" s="421">
        <f t="shared" si="4"/>
        <v>83400</v>
      </c>
      <c r="Y31" s="421">
        <f t="shared" si="4"/>
        <v>0</v>
      </c>
      <c r="Z31" s="421">
        <f t="shared" si="4"/>
        <v>87455</v>
      </c>
      <c r="AA31" s="421">
        <f t="shared" si="4"/>
        <v>59035</v>
      </c>
      <c r="AB31" s="421">
        <f t="shared" si="4"/>
        <v>60057.5</v>
      </c>
      <c r="AC31" s="421">
        <f t="shared" si="5"/>
        <v>83400</v>
      </c>
      <c r="AD31" s="421">
        <f t="shared" si="5"/>
        <v>60057.5</v>
      </c>
      <c r="AE31" s="421">
        <f t="shared" si="5"/>
        <v>87455</v>
      </c>
      <c r="AF31" s="421">
        <f t="shared" si="5"/>
        <v>59035</v>
      </c>
      <c r="AG31" s="421">
        <f t="shared" si="6"/>
        <v>579895</v>
      </c>
      <c r="AI31" s="257">
        <v>2</v>
      </c>
      <c r="AJ31" s="420" t="s">
        <v>140</v>
      </c>
      <c r="AK31" s="421">
        <f t="shared" ref="AK31:AK37" si="7">AG31*(1+$AK$27)*(1+$AK$27)</f>
        <v>634629.04904664832</v>
      </c>
    </row>
    <row r="32" spans="2:37">
      <c r="B32" s="257">
        <v>3</v>
      </c>
      <c r="C32" s="420" t="s">
        <v>141</v>
      </c>
      <c r="D32" s="422">
        <v>45036</v>
      </c>
      <c r="E32" s="422">
        <v>32431.050000000003</v>
      </c>
      <c r="F32" s="422">
        <v>23612.850000000002</v>
      </c>
      <c r="G32" s="422">
        <v>23612.850000000002</v>
      </c>
      <c r="H32" s="422">
        <v>15939.45</v>
      </c>
      <c r="I32" s="422">
        <v>15939.45</v>
      </c>
      <c r="R32" s="426"/>
      <c r="S32" s="427" t="s">
        <v>247</v>
      </c>
      <c r="T32" s="427">
        <v>12</v>
      </c>
      <c r="V32" s="257">
        <v>3</v>
      </c>
      <c r="W32" s="420" t="s">
        <v>141</v>
      </c>
      <c r="X32" s="421">
        <f t="shared" si="4"/>
        <v>45036</v>
      </c>
      <c r="Y32" s="421">
        <f t="shared" si="4"/>
        <v>0</v>
      </c>
      <c r="Z32" s="421">
        <f t="shared" si="4"/>
        <v>47225.700000000004</v>
      </c>
      <c r="AA32" s="421">
        <f t="shared" si="4"/>
        <v>31878.9</v>
      </c>
      <c r="AB32" s="421">
        <f t="shared" si="4"/>
        <v>32431.050000000003</v>
      </c>
      <c r="AC32" s="421">
        <f t="shared" si="5"/>
        <v>45036</v>
      </c>
      <c r="AD32" s="421">
        <f t="shared" si="5"/>
        <v>32431.050000000003</v>
      </c>
      <c r="AE32" s="421">
        <f t="shared" si="5"/>
        <v>47225.700000000004</v>
      </c>
      <c r="AF32" s="421">
        <f t="shared" si="5"/>
        <v>31878.9</v>
      </c>
      <c r="AG32" s="421">
        <f t="shared" si="6"/>
        <v>313143.30000000005</v>
      </c>
      <c r="AI32" s="257">
        <v>3</v>
      </c>
      <c r="AJ32" s="420" t="s">
        <v>141</v>
      </c>
      <c r="AK32" s="421">
        <f t="shared" si="7"/>
        <v>342699.68648519018</v>
      </c>
    </row>
    <row r="33" spans="2:38">
      <c r="B33" s="257">
        <v>4</v>
      </c>
      <c r="C33" s="420" t="s">
        <v>142</v>
      </c>
      <c r="D33" s="422">
        <v>6000</v>
      </c>
      <c r="E33" s="422">
        <v>0</v>
      </c>
      <c r="F33" s="422">
        <v>0</v>
      </c>
      <c r="G33" s="422">
        <v>0</v>
      </c>
      <c r="H33" s="422">
        <v>0</v>
      </c>
      <c r="I33" s="422">
        <v>0</v>
      </c>
      <c r="V33" s="257">
        <v>4</v>
      </c>
      <c r="W33" s="420" t="s">
        <v>142</v>
      </c>
      <c r="X33" s="421">
        <f t="shared" si="4"/>
        <v>6000</v>
      </c>
      <c r="Y33" s="421">
        <f t="shared" si="4"/>
        <v>0</v>
      </c>
      <c r="Z33" s="421">
        <f t="shared" si="4"/>
        <v>0</v>
      </c>
      <c r="AA33" s="421">
        <f t="shared" si="4"/>
        <v>0</v>
      </c>
      <c r="AB33" s="421">
        <f t="shared" si="4"/>
        <v>0</v>
      </c>
      <c r="AC33" s="421">
        <f t="shared" si="5"/>
        <v>6000</v>
      </c>
      <c r="AD33" s="421">
        <f t="shared" si="5"/>
        <v>0</v>
      </c>
      <c r="AE33" s="421">
        <f t="shared" si="5"/>
        <v>0</v>
      </c>
      <c r="AF33" s="421">
        <f t="shared" si="5"/>
        <v>0</v>
      </c>
      <c r="AG33" s="421">
        <f t="shared" si="6"/>
        <v>12000</v>
      </c>
      <c r="AI33" s="257">
        <v>4</v>
      </c>
      <c r="AJ33" s="420" t="s">
        <v>142</v>
      </c>
      <c r="AK33" s="421">
        <f t="shared" si="7"/>
        <v>13132.633646711527</v>
      </c>
    </row>
    <row r="34" spans="2:38">
      <c r="B34" s="257">
        <v>5</v>
      </c>
      <c r="C34" s="420" t="s">
        <v>143</v>
      </c>
      <c r="D34" s="422"/>
      <c r="E34" s="422"/>
      <c r="F34" s="422"/>
      <c r="G34" s="422"/>
      <c r="H34" s="422"/>
      <c r="I34" s="422"/>
      <c r="V34" s="257">
        <v>5</v>
      </c>
      <c r="W34" s="420" t="s">
        <v>143</v>
      </c>
      <c r="X34" s="421">
        <f t="shared" si="4"/>
        <v>0</v>
      </c>
      <c r="Y34" s="421">
        <f t="shared" si="4"/>
        <v>0</v>
      </c>
      <c r="Z34" s="421">
        <f t="shared" si="4"/>
        <v>0</v>
      </c>
      <c r="AA34" s="421">
        <f t="shared" si="4"/>
        <v>0</v>
      </c>
      <c r="AB34" s="421">
        <f t="shared" si="4"/>
        <v>0</v>
      </c>
      <c r="AC34" s="421">
        <f t="shared" si="5"/>
        <v>0</v>
      </c>
      <c r="AD34" s="421">
        <f t="shared" si="5"/>
        <v>0</v>
      </c>
      <c r="AE34" s="421">
        <f t="shared" si="5"/>
        <v>0</v>
      </c>
      <c r="AF34" s="421">
        <f t="shared" si="5"/>
        <v>0</v>
      </c>
      <c r="AG34" s="421">
        <f t="shared" si="6"/>
        <v>0</v>
      </c>
      <c r="AI34" s="257">
        <v>5</v>
      </c>
      <c r="AJ34" s="420" t="s">
        <v>143</v>
      </c>
      <c r="AK34" s="421">
        <f t="shared" si="7"/>
        <v>0</v>
      </c>
    </row>
    <row r="35" spans="2:38">
      <c r="B35" s="257">
        <v>6</v>
      </c>
      <c r="C35" s="420" t="s">
        <v>145</v>
      </c>
      <c r="D35" s="422"/>
      <c r="E35" s="422"/>
      <c r="F35" s="422"/>
      <c r="G35" s="422"/>
      <c r="H35" s="422"/>
      <c r="I35" s="422"/>
      <c r="V35" s="257">
        <v>6</v>
      </c>
      <c r="W35" s="420" t="s">
        <v>145</v>
      </c>
      <c r="X35" s="421">
        <f t="shared" si="4"/>
        <v>0</v>
      </c>
      <c r="Y35" s="421">
        <f t="shared" si="4"/>
        <v>0</v>
      </c>
      <c r="Z35" s="421">
        <f t="shared" si="4"/>
        <v>0</v>
      </c>
      <c r="AA35" s="421">
        <f t="shared" si="4"/>
        <v>0</v>
      </c>
      <c r="AB35" s="421">
        <f t="shared" si="4"/>
        <v>0</v>
      </c>
      <c r="AC35" s="421">
        <f t="shared" si="5"/>
        <v>0</v>
      </c>
      <c r="AD35" s="421">
        <f t="shared" si="5"/>
        <v>0</v>
      </c>
      <c r="AE35" s="421">
        <f t="shared" si="5"/>
        <v>0</v>
      </c>
      <c r="AF35" s="421">
        <f t="shared" si="5"/>
        <v>0</v>
      </c>
      <c r="AG35" s="421">
        <f t="shared" si="6"/>
        <v>0</v>
      </c>
      <c r="AI35" s="257">
        <v>6</v>
      </c>
      <c r="AJ35" s="420" t="s">
        <v>145</v>
      </c>
      <c r="AK35" s="421">
        <f t="shared" si="7"/>
        <v>0</v>
      </c>
    </row>
    <row r="36" spans="2:38">
      <c r="B36" s="257">
        <v>7</v>
      </c>
      <c r="C36" s="420" t="s">
        <v>146</v>
      </c>
      <c r="D36" s="422">
        <v>26970</v>
      </c>
      <c r="E36" s="422">
        <v>4205</v>
      </c>
      <c r="F36" s="422">
        <v>2460</v>
      </c>
      <c r="G36" s="422">
        <v>2460</v>
      </c>
      <c r="H36" s="422">
        <v>2335</v>
      </c>
      <c r="I36" s="422">
        <v>2335</v>
      </c>
      <c r="V36" s="257">
        <v>7</v>
      </c>
      <c r="W36" s="420" t="s">
        <v>146</v>
      </c>
      <c r="X36" s="421">
        <f t="shared" si="4"/>
        <v>26970</v>
      </c>
      <c r="Y36" s="421">
        <f t="shared" si="4"/>
        <v>0</v>
      </c>
      <c r="Z36" s="421">
        <f t="shared" si="4"/>
        <v>4920</v>
      </c>
      <c r="AA36" s="421">
        <f t="shared" si="4"/>
        <v>4670</v>
      </c>
      <c r="AB36" s="421">
        <f t="shared" si="4"/>
        <v>4205</v>
      </c>
      <c r="AC36" s="421">
        <f t="shared" si="5"/>
        <v>26970</v>
      </c>
      <c r="AD36" s="421">
        <f t="shared" si="5"/>
        <v>4205</v>
      </c>
      <c r="AE36" s="421">
        <f t="shared" si="5"/>
        <v>4920</v>
      </c>
      <c r="AF36" s="421">
        <f t="shared" si="5"/>
        <v>4670</v>
      </c>
      <c r="AG36" s="421">
        <f t="shared" si="6"/>
        <v>81530</v>
      </c>
      <c r="AI36" s="257">
        <v>7</v>
      </c>
      <c r="AJ36" s="420" t="s">
        <v>146</v>
      </c>
      <c r="AK36" s="421">
        <f t="shared" si="7"/>
        <v>89225.301768032557</v>
      </c>
    </row>
    <row r="37" spans="2:38">
      <c r="B37" s="257">
        <v>12</v>
      </c>
      <c r="C37" s="420" t="s">
        <v>155</v>
      </c>
      <c r="D37" s="422">
        <v>40</v>
      </c>
      <c r="E37" s="422">
        <v>40</v>
      </c>
      <c r="F37" s="422">
        <v>40</v>
      </c>
      <c r="G37" s="422">
        <v>40</v>
      </c>
      <c r="H37" s="422">
        <v>40</v>
      </c>
      <c r="I37" s="422">
        <v>40</v>
      </c>
      <c r="V37" s="257">
        <v>12</v>
      </c>
      <c r="W37" s="420" t="s">
        <v>155</v>
      </c>
      <c r="X37" s="421">
        <f t="shared" si="4"/>
        <v>40</v>
      </c>
      <c r="Y37" s="421">
        <f t="shared" si="4"/>
        <v>0</v>
      </c>
      <c r="Z37" s="421">
        <f t="shared" si="4"/>
        <v>80</v>
      </c>
      <c r="AA37" s="421">
        <f t="shared" si="4"/>
        <v>80</v>
      </c>
      <c r="AB37" s="421">
        <f t="shared" si="4"/>
        <v>40</v>
      </c>
      <c r="AC37" s="421">
        <f t="shared" si="5"/>
        <v>40</v>
      </c>
      <c r="AD37" s="421">
        <f t="shared" si="5"/>
        <v>40</v>
      </c>
      <c r="AE37" s="421">
        <f t="shared" si="5"/>
        <v>80</v>
      </c>
      <c r="AF37" s="421">
        <f t="shared" si="5"/>
        <v>80</v>
      </c>
      <c r="AG37" s="421">
        <f t="shared" si="6"/>
        <v>480</v>
      </c>
      <c r="AI37" s="257">
        <v>12</v>
      </c>
      <c r="AJ37" s="420" t="s">
        <v>155</v>
      </c>
      <c r="AK37" s="421">
        <f t="shared" si="7"/>
        <v>525.30534586846102</v>
      </c>
    </row>
    <row r="38" spans="2:38">
      <c r="AK38" s="472"/>
      <c r="AL38" s="471"/>
    </row>
    <row r="39" spans="2:38">
      <c r="E39" s="252" t="s">
        <v>248</v>
      </c>
    </row>
  </sheetData>
  <mergeCells count="25">
    <mergeCell ref="W3:W4"/>
    <mergeCell ref="V16:V17"/>
    <mergeCell ref="W16:W17"/>
    <mergeCell ref="V28:V29"/>
    <mergeCell ref="W28:W29"/>
    <mergeCell ref="B28:B29"/>
    <mergeCell ref="C28:C29"/>
    <mergeCell ref="D28:I28"/>
    <mergeCell ref="A1:A11"/>
    <mergeCell ref="V3:V4"/>
    <mergeCell ref="B2:B3"/>
    <mergeCell ref="C2:C3"/>
    <mergeCell ref="D2:O2"/>
    <mergeCell ref="B16:B17"/>
    <mergeCell ref="C16:C17"/>
    <mergeCell ref="D16:J16"/>
    <mergeCell ref="AI28:AI29"/>
    <mergeCell ref="AJ28:AJ29"/>
    <mergeCell ref="AK28:AK29"/>
    <mergeCell ref="AB3:AB4"/>
    <mergeCell ref="AB16:AB17"/>
    <mergeCell ref="AG28:AG29"/>
    <mergeCell ref="AD3:AD4"/>
    <mergeCell ref="AE3:AE4"/>
    <mergeCell ref="AF3:AF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X75"/>
  <sheetViews>
    <sheetView showGridLines="0" view="pageBreakPreview" zoomScale="50" zoomScaleNormal="52" workbookViewId="0">
      <pane xSplit="2" ySplit="6" topLeftCell="E7" activePane="bottomRight" state="frozen"/>
      <selection pane="bottomRight" activeCell="AT29" sqref="AT29:AX33"/>
      <selection pane="bottomLeft" activeCell="A7" sqref="A7"/>
      <selection pane="topRight" activeCell="C1" sqref="C1"/>
    </sheetView>
  </sheetViews>
  <sheetFormatPr defaultColWidth="8.85546875" defaultRowHeight="13.15"/>
  <cols>
    <col min="1" max="1" width="8.85546875" style="252"/>
    <col min="2" max="2" width="35.28515625" style="252" bestFit="1" customWidth="1"/>
    <col min="3" max="3" width="15.42578125" style="252" customWidth="1"/>
    <col min="4" max="4" width="17.140625" style="252" customWidth="1"/>
    <col min="5" max="5" width="15.42578125" style="252" customWidth="1"/>
    <col min="6" max="6" width="16.42578125" style="252" customWidth="1"/>
    <col min="7" max="7" width="15.85546875" style="252" customWidth="1"/>
    <col min="8" max="8" width="21.42578125" style="252" customWidth="1"/>
    <col min="9" max="9" width="52.85546875" style="456" customWidth="1"/>
    <col min="10" max="10" width="15.85546875" style="252" customWidth="1"/>
    <col min="11" max="12" width="8.85546875" style="252" customWidth="1"/>
    <col min="13" max="13" width="35.28515625" style="252" customWidth="1"/>
    <col min="14" max="14" width="14.85546875" style="252" customWidth="1"/>
    <col min="15" max="15" width="14.42578125" style="252" customWidth="1"/>
    <col min="16" max="16" width="15.5703125" style="252" customWidth="1"/>
    <col min="17" max="17" width="16.42578125" style="252" customWidth="1"/>
    <col min="18" max="18" width="16" style="252" customWidth="1"/>
    <col min="19" max="20" width="14.7109375" style="252" customWidth="1"/>
    <col min="21" max="21" width="8.42578125" style="252" bestFit="1" customWidth="1"/>
    <col min="22" max="22" width="36.7109375" style="252" customWidth="1"/>
    <col min="23" max="23" width="8.85546875" style="252" customWidth="1"/>
    <col min="24" max="26" width="10.140625" style="252" bestFit="1" customWidth="1"/>
    <col min="27" max="27" width="5.85546875" style="252" customWidth="1"/>
    <col min="28" max="29" width="8.85546875" style="252"/>
    <col min="30" max="30" width="40.42578125" style="252" customWidth="1"/>
    <col min="31" max="33" width="11.7109375" style="252" bestFit="1" customWidth="1"/>
    <col min="34" max="34" width="10.5703125" style="252" bestFit="1" customWidth="1"/>
    <col min="35" max="35" width="11.7109375" style="252" bestFit="1" customWidth="1"/>
    <col min="36" max="38" width="8.85546875" style="252"/>
    <col min="39" max="42" width="13.28515625" style="252" customWidth="1"/>
    <col min="43" max="44" width="8.85546875" style="252"/>
    <col min="45" max="45" width="40.42578125" style="252" customWidth="1"/>
    <col min="46" max="48" width="11.7109375" style="252" bestFit="1" customWidth="1"/>
    <col min="49" max="49" width="10.5703125" style="252" bestFit="1" customWidth="1"/>
    <col min="50" max="50" width="11.7109375" style="252" bestFit="1" customWidth="1"/>
    <col min="51" max="16384" width="8.85546875" style="252"/>
  </cols>
  <sheetData>
    <row r="2" spans="1:50">
      <c r="D2" s="274" t="s">
        <v>0</v>
      </c>
    </row>
    <row r="3" spans="1:50">
      <c r="D3" s="275" t="s">
        <v>1</v>
      </c>
    </row>
    <row r="4" spans="1:50">
      <c r="D4" s="274" t="s">
        <v>249</v>
      </c>
      <c r="W4" s="415" t="s">
        <v>250</v>
      </c>
      <c r="AM4" s="415" t="s">
        <v>251</v>
      </c>
    </row>
    <row r="5" spans="1:50">
      <c r="A5" s="415" t="s">
        <v>129</v>
      </c>
      <c r="G5" s="276" t="s">
        <v>130</v>
      </c>
      <c r="H5" s="276"/>
      <c r="I5" s="457"/>
      <c r="J5" s="276"/>
      <c r="L5" s="415" t="s">
        <v>131</v>
      </c>
      <c r="S5" s="276" t="s">
        <v>52</v>
      </c>
      <c r="U5" s="772" t="s">
        <v>2</v>
      </c>
      <c r="V5" s="772" t="s">
        <v>53</v>
      </c>
      <c r="W5" s="781" t="s">
        <v>94</v>
      </c>
      <c r="X5" s="416" t="s">
        <v>95</v>
      </c>
      <c r="Y5" s="416" t="s">
        <v>95</v>
      </c>
      <c r="Z5" s="416" t="s">
        <v>95</v>
      </c>
      <c r="AC5" s="415" t="s">
        <v>133</v>
      </c>
      <c r="AK5" s="772" t="s">
        <v>2</v>
      </c>
      <c r="AL5" s="772" t="s">
        <v>53</v>
      </c>
      <c r="AM5" s="770" t="s">
        <v>252</v>
      </c>
      <c r="AN5" s="416" t="s">
        <v>137</v>
      </c>
      <c r="AO5" s="416" t="s">
        <v>137</v>
      </c>
      <c r="AP5" s="416" t="s">
        <v>137</v>
      </c>
      <c r="AR5" s="415" t="s">
        <v>253</v>
      </c>
    </row>
    <row r="6" spans="1:50" ht="13.15" customHeight="1">
      <c r="A6" s="435" t="s">
        <v>2</v>
      </c>
      <c r="B6" s="435" t="s">
        <v>53</v>
      </c>
      <c r="C6" s="451" t="s">
        <v>96</v>
      </c>
      <c r="D6" s="451" t="s">
        <v>97</v>
      </c>
      <c r="E6" s="451" t="s">
        <v>98</v>
      </c>
      <c r="F6" s="451" t="s">
        <v>99</v>
      </c>
      <c r="G6" s="451" t="s">
        <v>100</v>
      </c>
      <c r="H6" s="451" t="s">
        <v>254</v>
      </c>
      <c r="I6" s="458" t="s">
        <v>55</v>
      </c>
      <c r="J6" s="436"/>
      <c r="L6" s="435" t="s">
        <v>2</v>
      </c>
      <c r="M6" s="435" t="s">
        <v>53</v>
      </c>
      <c r="N6" s="283" t="s">
        <v>96</v>
      </c>
      <c r="O6" s="283" t="s">
        <v>97</v>
      </c>
      <c r="P6" s="283" t="s">
        <v>98</v>
      </c>
      <c r="Q6" s="283" t="s">
        <v>99</v>
      </c>
      <c r="R6" s="283" t="s">
        <v>100</v>
      </c>
      <c r="S6" s="451" t="s">
        <v>101</v>
      </c>
      <c r="T6" s="469"/>
      <c r="U6" s="772"/>
      <c r="V6" s="772"/>
      <c r="W6" s="782"/>
      <c r="X6" s="416" t="s">
        <v>99</v>
      </c>
      <c r="Y6" s="416" t="s">
        <v>100</v>
      </c>
      <c r="Z6" s="416" t="s">
        <v>101</v>
      </c>
      <c r="AC6" s="463" t="s">
        <v>2</v>
      </c>
      <c r="AD6" s="463" t="s">
        <v>53</v>
      </c>
      <c r="AE6" s="464" t="s">
        <v>56</v>
      </c>
      <c r="AF6" s="464" t="s">
        <v>57</v>
      </c>
      <c r="AG6" s="464" t="s">
        <v>58</v>
      </c>
      <c r="AH6" s="464" t="s">
        <v>255</v>
      </c>
      <c r="AI6" s="464" t="s">
        <v>60</v>
      </c>
      <c r="AK6" s="772"/>
      <c r="AL6" s="772"/>
      <c r="AM6" s="773"/>
      <c r="AN6" s="416" t="s">
        <v>99</v>
      </c>
      <c r="AO6" s="416" t="s">
        <v>100</v>
      </c>
      <c r="AP6" s="416" t="s">
        <v>101</v>
      </c>
      <c r="AR6" s="463" t="s">
        <v>2</v>
      </c>
      <c r="AS6" s="463" t="s">
        <v>53</v>
      </c>
      <c r="AT6" s="464" t="s">
        <v>56</v>
      </c>
      <c r="AU6" s="464" t="s">
        <v>57</v>
      </c>
      <c r="AV6" s="464" t="s">
        <v>58</v>
      </c>
      <c r="AW6" s="464" t="s">
        <v>255</v>
      </c>
      <c r="AX6" s="464" t="s">
        <v>60</v>
      </c>
    </row>
    <row r="7" spans="1:50" ht="13.15" customHeight="1">
      <c r="A7" s="277">
        <v>1</v>
      </c>
      <c r="B7" s="694" t="s">
        <v>256</v>
      </c>
      <c r="C7" s="434">
        <f>226.58*1630*12</f>
        <v>4431904.8000000007</v>
      </c>
      <c r="D7" s="434">
        <f>226.58*1630*12</f>
        <v>4431904.8000000007</v>
      </c>
      <c r="E7" s="434">
        <f>226.58*1630*12</f>
        <v>4431904.8000000007</v>
      </c>
      <c r="F7" s="434">
        <f>226.58*1630*12</f>
        <v>4431904.8000000007</v>
      </c>
      <c r="G7" s="434">
        <f>226.58*1630*12</f>
        <v>4431904.8000000007</v>
      </c>
      <c r="H7" s="434" t="s">
        <v>257</v>
      </c>
      <c r="I7" s="707" t="s">
        <v>258</v>
      </c>
      <c r="J7" s="437"/>
      <c r="L7" s="277">
        <v>1</v>
      </c>
      <c r="M7" s="284" t="s">
        <v>256</v>
      </c>
      <c r="N7" s="452">
        <f t="shared" ref="N7:N30" si="0">C7/10^5</f>
        <v>44.319048000000009</v>
      </c>
      <c r="O7" s="452">
        <f t="shared" ref="O7:O30" si="1">D7/10^5</f>
        <v>44.319048000000009</v>
      </c>
      <c r="P7" s="452">
        <f t="shared" ref="P7:P30" si="2">E7/10^5</f>
        <v>44.319048000000009</v>
      </c>
      <c r="Q7" s="452">
        <f t="shared" ref="Q7:Q30" si="3">F7/10^5</f>
        <v>44.319048000000009</v>
      </c>
      <c r="R7" s="452">
        <f t="shared" ref="R7:R30" si="4">G7/10^5</f>
        <v>44.319048000000009</v>
      </c>
      <c r="S7" s="259"/>
      <c r="U7" s="277">
        <v>1</v>
      </c>
      <c r="V7" s="694" t="s">
        <v>256</v>
      </c>
      <c r="W7" s="737">
        <f>AVERAGE(N7:R7)</f>
        <v>44.319048000000009</v>
      </c>
      <c r="X7" s="460">
        <f>W7*$Y$36+W7</f>
        <v>46.470890118571582</v>
      </c>
      <c r="Y7" s="460">
        <f>X7*$Y$37+X7</f>
        <v>48.614551418984945</v>
      </c>
      <c r="Z7" s="460">
        <f>Y7*$Y$38+Y7</f>
        <v>50.857097930315611</v>
      </c>
      <c r="AC7" s="277">
        <v>1</v>
      </c>
      <c r="AD7" s="284" t="s">
        <v>256</v>
      </c>
      <c r="AE7" s="460">
        <f>Z7*$Y$39+Z7</f>
        <v>53.20309114039577</v>
      </c>
      <c r="AF7" s="460">
        <f>AE7*$Y$39+AE7</f>
        <v>55.657302954480492</v>
      </c>
      <c r="AG7" s="460">
        <f t="shared" ref="AG7:AI7" si="5">AF7*$Y$39+AF7</f>
        <v>58.22472540161845</v>
      </c>
      <c r="AH7" s="460">
        <f t="shared" si="5"/>
        <v>60.910580788768947</v>
      </c>
      <c r="AI7" s="460">
        <f t="shared" si="5"/>
        <v>63.720332323319475</v>
      </c>
      <c r="AK7" s="277">
        <v>1</v>
      </c>
      <c r="AL7" s="694" t="s">
        <v>256</v>
      </c>
      <c r="AM7" s="460">
        <f>AVERAGE(N7:R7)</f>
        <v>44.319048000000009</v>
      </c>
      <c r="AN7" s="460">
        <f t="shared" ref="AN7:AN30" si="6">AM7*$AN$36+AM7</f>
        <v>46.91408059857158</v>
      </c>
      <c r="AO7" s="460">
        <f t="shared" ref="AO7:AO30" si="7">AN7*$AN$37+AN7</f>
        <v>49.547326692126134</v>
      </c>
      <c r="AP7" s="460">
        <f t="shared" ref="AP7:AP12" si="8">AO7*$AN$38+AO7</f>
        <v>52.328374573560794</v>
      </c>
      <c r="AR7" s="277">
        <v>1</v>
      </c>
      <c r="AS7" s="284" t="s">
        <v>256</v>
      </c>
      <c r="AT7" s="460">
        <f>AP7*$Y$39+AP7</f>
        <v>54.742236481535045</v>
      </c>
      <c r="AU7" s="460">
        <f>AT7*$Y$39+AT7</f>
        <v>57.267447716872368</v>
      </c>
      <c r="AV7" s="460">
        <f t="shared" ref="AV7:AX7" si="9">AU7*$Y$39+AU7</f>
        <v>59.909144726137193</v>
      </c>
      <c r="AW7" s="460">
        <f t="shared" si="9"/>
        <v>62.672700895657606</v>
      </c>
      <c r="AX7" s="460">
        <f t="shared" si="9"/>
        <v>65.563737481348312</v>
      </c>
    </row>
    <row r="8" spans="1:50" ht="13.15" customHeight="1">
      <c r="A8" s="277">
        <v>2</v>
      </c>
      <c r="B8" s="640" t="s">
        <v>259</v>
      </c>
      <c r="C8" s="434">
        <v>617043.21028350003</v>
      </c>
      <c r="D8" s="434">
        <v>291633.82351349998</v>
      </c>
      <c r="E8" s="434">
        <v>325974.10296749999</v>
      </c>
      <c r="F8" s="434">
        <v>325974.10296749999</v>
      </c>
      <c r="G8" s="434">
        <v>321344.61861450004</v>
      </c>
      <c r="H8" s="417" t="s">
        <v>260</v>
      </c>
      <c r="I8" s="696" t="s">
        <v>261</v>
      </c>
      <c r="J8" s="438"/>
      <c r="L8" s="277">
        <v>2</v>
      </c>
      <c r="M8" s="285" t="s">
        <v>259</v>
      </c>
      <c r="N8" s="452">
        <f t="shared" si="0"/>
        <v>6.170432102835</v>
      </c>
      <c r="O8" s="452">
        <f t="shared" si="1"/>
        <v>2.916338235135</v>
      </c>
      <c r="P8" s="452">
        <f t="shared" si="2"/>
        <v>3.2597410296749998</v>
      </c>
      <c r="Q8" s="452">
        <f t="shared" si="3"/>
        <v>3.2597410296749998</v>
      </c>
      <c r="R8" s="452">
        <f t="shared" si="4"/>
        <v>3.2134461861450005</v>
      </c>
      <c r="S8" s="259"/>
      <c r="U8" s="277">
        <v>2</v>
      </c>
      <c r="V8" s="640" t="s">
        <v>259</v>
      </c>
      <c r="W8" s="737">
        <f t="shared" ref="W8:W30" si="10">AVERAGE(N8:R8)</f>
        <v>3.7639397166930002</v>
      </c>
      <c r="X8" s="460">
        <f t="shared" ref="X8:X30" si="11">W8*$Y$36+W8</f>
        <v>3.9466919277545811</v>
      </c>
      <c r="Y8" s="460">
        <f t="shared" ref="Y8:Y30" si="12">X8*$Y$37+X8</f>
        <v>4.1287493561488828</v>
      </c>
      <c r="Z8" s="460">
        <f t="shared" ref="Z8:Z30" si="13">Y8*$Y$38+Y8</f>
        <v>4.3192049336362155</v>
      </c>
      <c r="AC8" s="277">
        <v>2</v>
      </c>
      <c r="AD8" s="465" t="s">
        <v>259</v>
      </c>
      <c r="AE8" s="460">
        <f t="shared" ref="AE8:AE30" si="14">Z8*$Y$39+Z8</f>
        <v>4.5184460594499471</v>
      </c>
      <c r="AF8" s="460">
        <f t="shared" ref="AF8:AI8" si="15">AE8*$Y$39+AE8</f>
        <v>4.7268780032094488</v>
      </c>
      <c r="AG8" s="460">
        <f t="shared" si="15"/>
        <v>4.9449247292652903</v>
      </c>
      <c r="AH8" s="460">
        <f t="shared" si="15"/>
        <v>5.1730297590707499</v>
      </c>
      <c r="AI8" s="460">
        <f t="shared" si="15"/>
        <v>5.4116570733337692</v>
      </c>
      <c r="AK8" s="277">
        <v>2</v>
      </c>
      <c r="AL8" s="640" t="s">
        <v>259</v>
      </c>
      <c r="AM8" s="460">
        <f t="shared" ref="AM8:AM30" si="16">AVERAGE(N8:R8)</f>
        <v>3.7639397166930002</v>
      </c>
      <c r="AN8" s="460">
        <f t="shared" si="6"/>
        <v>3.9843313249215111</v>
      </c>
      <c r="AO8" s="460">
        <f t="shared" si="7"/>
        <v>4.2079683388609048</v>
      </c>
      <c r="AP8" s="460">
        <f t="shared" si="8"/>
        <v>4.4441579017539716</v>
      </c>
      <c r="AR8" s="277">
        <v>2</v>
      </c>
      <c r="AS8" s="465" t="s">
        <v>259</v>
      </c>
      <c r="AT8" s="460">
        <f t="shared" ref="AT8:AT30" si="17">AP8*$Y$39+AP8</f>
        <v>4.649162998118781</v>
      </c>
      <c r="AU8" s="460">
        <f t="shared" ref="AU8:AX8" si="18">AT8*$Y$39+AT8</f>
        <v>4.8636247993227588</v>
      </c>
      <c r="AV8" s="460">
        <f t="shared" si="18"/>
        <v>5.0879795348450783</v>
      </c>
      <c r="AW8" s="460">
        <f t="shared" si="18"/>
        <v>5.3226835570472213</v>
      </c>
      <c r="AX8" s="460">
        <f t="shared" si="18"/>
        <v>5.5682142694238443</v>
      </c>
    </row>
    <row r="9" spans="1:50">
      <c r="A9" s="277">
        <v>3</v>
      </c>
      <c r="B9" s="640" t="s">
        <v>262</v>
      </c>
      <c r="C9" s="434">
        <v>0</v>
      </c>
      <c r="D9" s="434">
        <v>0</v>
      </c>
      <c r="E9" s="434">
        <v>0</v>
      </c>
      <c r="F9" s="434">
        <v>84742</v>
      </c>
      <c r="G9" s="434">
        <v>0</v>
      </c>
      <c r="H9" s="608" t="s">
        <v>257</v>
      </c>
      <c r="I9" s="459" t="s">
        <v>263</v>
      </c>
      <c r="J9" s="439"/>
      <c r="L9" s="277">
        <v>3</v>
      </c>
      <c r="M9" s="285" t="s">
        <v>262</v>
      </c>
      <c r="N9" s="452">
        <f t="shared" si="0"/>
        <v>0</v>
      </c>
      <c r="O9" s="452">
        <f t="shared" si="1"/>
        <v>0</v>
      </c>
      <c r="P9" s="452">
        <f t="shared" si="2"/>
        <v>0</v>
      </c>
      <c r="Q9" s="452">
        <f t="shared" si="3"/>
        <v>0.84741999999999995</v>
      </c>
      <c r="R9" s="452">
        <f t="shared" si="4"/>
        <v>0</v>
      </c>
      <c r="S9" s="259"/>
      <c r="U9" s="277">
        <v>3</v>
      </c>
      <c r="V9" s="640" t="s">
        <v>262</v>
      </c>
      <c r="W9" s="737">
        <f t="shared" si="10"/>
        <v>0.169484</v>
      </c>
      <c r="X9" s="460">
        <f t="shared" si="11"/>
        <v>0.17771303076853057</v>
      </c>
      <c r="Y9" s="460">
        <f t="shared" si="12"/>
        <v>0.18591077661901134</v>
      </c>
      <c r="Z9" s="460">
        <f t="shared" si="13"/>
        <v>0.19448667727749044</v>
      </c>
      <c r="AC9" s="277">
        <v>3</v>
      </c>
      <c r="AD9" s="418" t="s">
        <v>262</v>
      </c>
      <c r="AE9" s="460">
        <f t="shared" si="14"/>
        <v>0.20345817669275826</v>
      </c>
      <c r="AF9" s="460">
        <f t="shared" ref="AF9:AI9" si="19">AE9*$Y$39+AE9</f>
        <v>0.21284352348762478</v>
      </c>
      <c r="AG9" s="460">
        <f t="shared" si="19"/>
        <v>0.22266180807782468</v>
      </c>
      <c r="AH9" s="460">
        <f t="shared" si="19"/>
        <v>0.23293300150318469</v>
      </c>
      <c r="AI9" s="460">
        <f t="shared" si="19"/>
        <v>0.24367799605003873</v>
      </c>
      <c r="AK9" s="277">
        <v>3</v>
      </c>
      <c r="AL9" s="640" t="s">
        <v>262</v>
      </c>
      <c r="AM9" s="460">
        <f t="shared" si="16"/>
        <v>0.169484</v>
      </c>
      <c r="AN9" s="460">
        <f t="shared" si="6"/>
        <v>0.17940787076853057</v>
      </c>
      <c r="AO9" s="460">
        <f t="shared" si="7"/>
        <v>0.18947787680566386</v>
      </c>
      <c r="AP9" s="460">
        <f t="shared" si="8"/>
        <v>0.20011310342734293</v>
      </c>
      <c r="AR9" s="277">
        <v>3</v>
      </c>
      <c r="AS9" s="418" t="s">
        <v>262</v>
      </c>
      <c r="AT9" s="460">
        <f t="shared" si="17"/>
        <v>0.20934414493371978</v>
      </c>
      <c r="AU9" s="460">
        <f t="shared" ref="AU9:AX9" si="20">AT9*$Y$39+AT9</f>
        <v>0.21900100626814897</v>
      </c>
      <c r="AV9" s="460">
        <f t="shared" si="20"/>
        <v>0.22910333012488523</v>
      </c>
      <c r="AW9" s="460">
        <f t="shared" si="20"/>
        <v>0.23967166529839792</v>
      </c>
      <c r="AX9" s="460">
        <f t="shared" si="20"/>
        <v>0.25072750848097719</v>
      </c>
    </row>
    <row r="10" spans="1:50">
      <c r="A10" s="277">
        <v>4</v>
      </c>
      <c r="B10" s="640" t="s">
        <v>264</v>
      </c>
      <c r="C10" s="434">
        <v>22470.114799999999</v>
      </c>
      <c r="D10" s="434">
        <v>21426.572</v>
      </c>
      <c r="E10" s="434">
        <v>21166.941200000001</v>
      </c>
      <c r="F10" s="434">
        <v>23333.272399999998</v>
      </c>
      <c r="G10" s="434">
        <v>10782.2788</v>
      </c>
      <c r="H10" s="682" t="s">
        <v>265</v>
      </c>
      <c r="I10" s="697" t="s">
        <v>266</v>
      </c>
      <c r="J10" s="440"/>
      <c r="L10" s="277">
        <v>4</v>
      </c>
      <c r="M10" s="285" t="s">
        <v>264</v>
      </c>
      <c r="N10" s="452">
        <f t="shared" si="0"/>
        <v>0.22470114799999999</v>
      </c>
      <c r="O10" s="452">
        <f t="shared" si="1"/>
        <v>0.21426571999999999</v>
      </c>
      <c r="P10" s="452">
        <f t="shared" si="2"/>
        <v>0.211669412</v>
      </c>
      <c r="Q10" s="452">
        <f t="shared" si="3"/>
        <v>0.23333272399999999</v>
      </c>
      <c r="R10" s="452">
        <f t="shared" si="4"/>
        <v>0.107822788</v>
      </c>
      <c r="S10" s="259"/>
      <c r="U10" s="277">
        <v>4</v>
      </c>
      <c r="V10" s="640" t="s">
        <v>264</v>
      </c>
      <c r="W10" s="737">
        <f t="shared" si="10"/>
        <v>0.19835835839999999</v>
      </c>
      <c r="X10" s="460">
        <f t="shared" si="11"/>
        <v>0.20798933851888329</v>
      </c>
      <c r="Y10" s="460">
        <f t="shared" si="12"/>
        <v>0.21758370382464537</v>
      </c>
      <c r="Z10" s="460">
        <f t="shared" si="13"/>
        <v>0.22762064876586338</v>
      </c>
      <c r="AC10" s="277">
        <v>4</v>
      </c>
      <c r="AD10" s="418" t="s">
        <v>264</v>
      </c>
      <c r="AE10" s="460">
        <f t="shared" si="14"/>
        <v>0.2381205891519711</v>
      </c>
      <c r="AF10" s="460">
        <f t="shared" ref="AF10:AI10" si="21">AE10*$Y$39+AE10</f>
        <v>0.24910488255574031</v>
      </c>
      <c r="AG10" s="460">
        <f t="shared" si="21"/>
        <v>0.26059587175599558</v>
      </c>
      <c r="AH10" s="460">
        <f t="shared" si="21"/>
        <v>0.27261693018430316</v>
      </c>
      <c r="AI10" s="460">
        <f t="shared" si="21"/>
        <v>0.28519250946807578</v>
      </c>
      <c r="AK10" s="277">
        <v>4</v>
      </c>
      <c r="AL10" s="640" t="s">
        <v>264</v>
      </c>
      <c r="AM10" s="460">
        <f t="shared" si="16"/>
        <v>0.19835835839999999</v>
      </c>
      <c r="AN10" s="460">
        <f t="shared" si="6"/>
        <v>0.20997292210288329</v>
      </c>
      <c r="AO10" s="460">
        <f t="shared" si="7"/>
        <v>0.2217585175962859</v>
      </c>
      <c r="AP10" s="460">
        <f t="shared" si="8"/>
        <v>0.23420562820193738</v>
      </c>
      <c r="AR10" s="277">
        <v>4</v>
      </c>
      <c r="AS10" s="418" t="s">
        <v>264</v>
      </c>
      <c r="AT10" s="460">
        <f t="shared" si="17"/>
        <v>0.24500932789941426</v>
      </c>
      <c r="AU10" s="460">
        <f t="shared" ref="AU10:AX10" si="22">AT10*$Y$39+AT10</f>
        <v>0.25631139276449771</v>
      </c>
      <c r="AV10" s="460">
        <f t="shared" si="22"/>
        <v>0.26813481194416872</v>
      </c>
      <c r="AW10" s="460">
        <f t="shared" si="22"/>
        <v>0.28050363505454468</v>
      </c>
      <c r="AX10" s="460">
        <f t="shared" si="22"/>
        <v>0.29344302109938819</v>
      </c>
    </row>
    <row r="11" spans="1:50">
      <c r="A11" s="277">
        <v>5</v>
      </c>
      <c r="B11" s="640" t="s">
        <v>267</v>
      </c>
      <c r="C11" s="683">
        <v>4428616.7</v>
      </c>
      <c r="D11" s="683">
        <v>277866.40000000002</v>
      </c>
      <c r="E11" s="683">
        <v>5657687</v>
      </c>
      <c r="F11" s="683">
        <v>1943479.2</v>
      </c>
      <c r="G11" s="683">
        <v>2840044</v>
      </c>
      <c r="H11" s="683" t="s">
        <v>257</v>
      </c>
      <c r="I11" s="698" t="s">
        <v>268</v>
      </c>
      <c r="J11" s="441"/>
      <c r="L11" s="277">
        <v>5</v>
      </c>
      <c r="M11" s="285" t="s">
        <v>267</v>
      </c>
      <c r="N11" s="452">
        <f t="shared" si="0"/>
        <v>44.286166999999999</v>
      </c>
      <c r="O11" s="452">
        <f t="shared" si="1"/>
        <v>2.778664</v>
      </c>
      <c r="P11" s="452">
        <f t="shared" si="2"/>
        <v>56.57687</v>
      </c>
      <c r="Q11" s="452">
        <f t="shared" si="3"/>
        <v>19.434791999999998</v>
      </c>
      <c r="R11" s="452">
        <f t="shared" si="4"/>
        <v>28.40044</v>
      </c>
      <c r="S11" s="259"/>
      <c r="U11" s="277">
        <v>5</v>
      </c>
      <c r="V11" s="640" t="s">
        <v>267</v>
      </c>
      <c r="W11" s="737">
        <f t="shared" si="10"/>
        <v>30.2953866</v>
      </c>
      <c r="X11" s="460">
        <f t="shared" si="11"/>
        <v>31.766331753972818</v>
      </c>
      <c r="Y11" s="460">
        <f t="shared" si="12"/>
        <v>33.231684706398184</v>
      </c>
      <c r="Z11" s="460">
        <f t="shared" si="13"/>
        <v>34.764633102068686</v>
      </c>
      <c r="AC11" s="277">
        <v>5</v>
      </c>
      <c r="AD11" s="418" t="s">
        <v>267</v>
      </c>
      <c r="AE11" s="460">
        <f t="shared" si="14"/>
        <v>36.368295059346138</v>
      </c>
      <c r="AF11" s="460">
        <f t="shared" ref="AF11:AI11" si="23">AE11*$Y$39+AE11</f>
        <v>38.04593253265071</v>
      </c>
      <c r="AG11" s="460">
        <f t="shared" si="23"/>
        <v>39.800957947491803</v>
      </c>
      <c r="AH11" s="460">
        <f t="shared" si="23"/>
        <v>41.636941141567114</v>
      </c>
      <c r="AI11" s="460">
        <f t="shared" si="23"/>
        <v>43.55761662604845</v>
      </c>
      <c r="AK11" s="277">
        <v>5</v>
      </c>
      <c r="AL11" s="640" t="s">
        <v>267</v>
      </c>
      <c r="AM11" s="460">
        <f t="shared" si="16"/>
        <v>30.2953866</v>
      </c>
      <c r="AN11" s="460">
        <f t="shared" si="6"/>
        <v>32.069285619972817</v>
      </c>
      <c r="AO11" s="460">
        <f t="shared" si="7"/>
        <v>33.869306424056312</v>
      </c>
      <c r="AP11" s="460">
        <f t="shared" si="8"/>
        <v>35.770360813157225</v>
      </c>
      <c r="AR11" s="277">
        <v>5</v>
      </c>
      <c r="AS11" s="418" t="s">
        <v>267</v>
      </c>
      <c r="AT11" s="460">
        <f t="shared" si="17"/>
        <v>37.420416105434569</v>
      </c>
      <c r="AU11" s="460">
        <f t="shared" ref="AU11:AX11" si="24">AT11*$Y$39+AT11</f>
        <v>39.146586997490012</v>
      </c>
      <c r="AV11" s="460">
        <f t="shared" si="24"/>
        <v>40.952384635014667</v>
      </c>
      <c r="AW11" s="460">
        <f t="shared" si="24"/>
        <v>42.841482129763108</v>
      </c>
      <c r="AX11" s="460">
        <f t="shared" si="24"/>
        <v>44.817722030905479</v>
      </c>
    </row>
    <row r="12" spans="1:50" ht="39.6">
      <c r="A12" s="277">
        <v>6</v>
      </c>
      <c r="B12" s="640" t="s">
        <v>269</v>
      </c>
      <c r="C12" s="434">
        <v>6638.525361</v>
      </c>
      <c r="D12" s="434">
        <v>6899.4564600000003</v>
      </c>
      <c r="E12" s="434">
        <v>8292.311235000001</v>
      </c>
      <c r="F12" s="434">
        <v>8628.75</v>
      </c>
      <c r="G12" s="434">
        <v>7018.05</v>
      </c>
      <c r="H12" s="417" t="s">
        <v>260</v>
      </c>
      <c r="I12" s="696" t="s">
        <v>270</v>
      </c>
      <c r="J12" s="438"/>
      <c r="L12" s="277">
        <v>6</v>
      </c>
      <c r="M12" s="285" t="s">
        <v>271</v>
      </c>
      <c r="N12" s="452">
        <f t="shared" si="0"/>
        <v>6.638525361E-2</v>
      </c>
      <c r="O12" s="452">
        <f t="shared" si="1"/>
        <v>6.8994564600000002E-2</v>
      </c>
      <c r="P12" s="452">
        <f t="shared" si="2"/>
        <v>8.2923112350000008E-2</v>
      </c>
      <c r="Q12" s="452">
        <f t="shared" si="3"/>
        <v>8.6287500000000003E-2</v>
      </c>
      <c r="R12" s="452">
        <f t="shared" si="4"/>
        <v>7.0180500000000007E-2</v>
      </c>
      <c r="S12" s="259"/>
      <c r="U12" s="277">
        <v>6</v>
      </c>
      <c r="V12" s="640" t="s">
        <v>269</v>
      </c>
      <c r="W12" s="737">
        <f t="shared" si="10"/>
        <v>7.4954186111999999E-2</v>
      </c>
      <c r="X12" s="460">
        <f t="shared" si="11"/>
        <v>7.8593469488282219E-2</v>
      </c>
      <c r="Y12" s="460">
        <f t="shared" si="12"/>
        <v>8.2218917130394822E-2</v>
      </c>
      <c r="Z12" s="460">
        <f t="shared" si="13"/>
        <v>8.6011603484467569E-2</v>
      </c>
      <c r="AC12" s="277">
        <v>6</v>
      </c>
      <c r="AD12" s="418" t="s">
        <v>271</v>
      </c>
      <c r="AE12" s="460">
        <f t="shared" si="14"/>
        <v>8.9979243125234143E-2</v>
      </c>
      <c r="AF12" s="460">
        <f t="shared" ref="AF12:AI12" si="25">AE12*$Y$39+AE12</f>
        <v>9.4129906493977428E-2</v>
      </c>
      <c r="AG12" s="460">
        <f t="shared" si="25"/>
        <v>9.8472036314340552E-2</v>
      </c>
      <c r="AH12" s="460">
        <f t="shared" si="25"/>
        <v>0.10301446476538481</v>
      </c>
      <c r="AI12" s="460">
        <f t="shared" si="25"/>
        <v>0.10776643144682567</v>
      </c>
      <c r="AK12" s="277">
        <v>6</v>
      </c>
      <c r="AL12" s="640" t="s">
        <v>269</v>
      </c>
      <c r="AM12" s="460">
        <f t="shared" si="16"/>
        <v>7.4954186111999999E-2</v>
      </c>
      <c r="AN12" s="460">
        <f t="shared" si="6"/>
        <v>7.934301134940222E-2</v>
      </c>
      <c r="AO12" s="460">
        <f t="shared" si="7"/>
        <v>8.3796464812007851E-2</v>
      </c>
      <c r="AP12" s="460">
        <f t="shared" si="8"/>
        <v>8.8499886701653069E-2</v>
      </c>
      <c r="AR12" s="277">
        <v>6</v>
      </c>
      <c r="AS12" s="418" t="s">
        <v>271</v>
      </c>
      <c r="AT12" s="460">
        <f t="shared" si="17"/>
        <v>9.2582308659339738E-2</v>
      </c>
      <c r="AU12" s="460">
        <f t="shared" ref="AU12:AX12" si="26">AT12*$Y$39+AT12</f>
        <v>9.6853049152357262E-2</v>
      </c>
      <c r="AV12" s="460">
        <f t="shared" si="26"/>
        <v>0.10132079514915641</v>
      </c>
      <c r="AW12" s="460">
        <f t="shared" si="26"/>
        <v>0.10599463434040436</v>
      </c>
      <c r="AX12" s="460">
        <f t="shared" si="26"/>
        <v>0.11088407362394814</v>
      </c>
    </row>
    <row r="13" spans="1:50" ht="39.6">
      <c r="A13" s="277">
        <v>7</v>
      </c>
      <c r="B13" s="640" t="s">
        <v>272</v>
      </c>
      <c r="C13" s="683">
        <v>2657622.5</v>
      </c>
      <c r="D13" s="683">
        <v>238861.5</v>
      </c>
      <c r="E13" s="683">
        <v>1796246.33</v>
      </c>
      <c r="F13" s="683">
        <v>9154071.5500000007</v>
      </c>
      <c r="G13" s="683">
        <f>17077420.44+1094221</f>
        <v>18171641.440000001</v>
      </c>
      <c r="H13" s="684" t="s">
        <v>273</v>
      </c>
      <c r="I13" s="698" t="s">
        <v>274</v>
      </c>
      <c r="J13" s="441"/>
      <c r="L13" s="277">
        <v>7</v>
      </c>
      <c r="M13" s="285" t="s">
        <v>272</v>
      </c>
      <c r="N13" s="452">
        <f t="shared" si="0"/>
        <v>26.576225000000001</v>
      </c>
      <c r="O13" s="452">
        <f t="shared" si="1"/>
        <v>2.3886150000000002</v>
      </c>
      <c r="P13" s="452">
        <f t="shared" si="2"/>
        <v>17.9624633</v>
      </c>
      <c r="Q13" s="452">
        <f t="shared" si="3"/>
        <v>91.540715500000005</v>
      </c>
      <c r="R13" s="452">
        <f t="shared" si="4"/>
        <v>181.71641440000002</v>
      </c>
      <c r="S13" s="470">
        <f>60251148.22/10^5</f>
        <v>602.51148219999993</v>
      </c>
      <c r="U13" s="277">
        <v>7</v>
      </c>
      <c r="V13" s="640" t="s">
        <v>272</v>
      </c>
      <c r="W13" s="737">
        <f t="shared" si="10"/>
        <v>64.036886640000006</v>
      </c>
      <c r="X13" s="460">
        <f t="shared" si="11"/>
        <v>67.146097600807309</v>
      </c>
      <c r="Y13" s="460">
        <f t="shared" si="12"/>
        <v>70.243488043154485</v>
      </c>
      <c r="Z13" s="460">
        <f t="shared" si="13"/>
        <v>73.48375838314486</v>
      </c>
      <c r="AA13" s="462"/>
      <c r="AC13" s="277">
        <v>7</v>
      </c>
      <c r="AD13" s="418" t="s">
        <v>272</v>
      </c>
      <c r="AE13" s="460">
        <f t="shared" si="14"/>
        <v>76.873499544825791</v>
      </c>
      <c r="AF13" s="460">
        <f t="shared" ref="AF13:AI13" si="27">AE13*$Y$39+AE13</f>
        <v>80.419606485775702</v>
      </c>
      <c r="AG13" s="460">
        <f t="shared" si="27"/>
        <v>84.12929222190354</v>
      </c>
      <c r="AH13" s="460">
        <f t="shared" si="27"/>
        <v>88.010102499199874</v>
      </c>
      <c r="AI13" s="460">
        <f t="shared" si="27"/>
        <v>92.069931142283053</v>
      </c>
      <c r="AK13" s="277">
        <v>7</v>
      </c>
      <c r="AL13" s="640" t="s">
        <v>272</v>
      </c>
      <c r="AM13" s="468">
        <f>AVERAGE(N13:S13)</f>
        <v>153.78265256666666</v>
      </c>
      <c r="AN13" s="460">
        <f t="shared" si="6"/>
        <v>162.78715547262496</v>
      </c>
      <c r="AO13" s="460">
        <f t="shared" si="7"/>
        <v>171.92425537440155</v>
      </c>
      <c r="AP13" s="460">
        <f>AO13*$AN$37+AO13</f>
        <v>181.57421265962867</v>
      </c>
      <c r="AR13" s="277">
        <v>7</v>
      </c>
      <c r="AS13" s="418" t="s">
        <v>272</v>
      </c>
      <c r="AT13" s="460">
        <f t="shared" si="17"/>
        <v>189.95007143569973</v>
      </c>
      <c r="AU13" s="460">
        <f t="shared" ref="AU13:AX13" si="28">AT13*$Y$39+AT13</f>
        <v>198.71230121241612</v>
      </c>
      <c r="AV13" s="460">
        <f t="shared" si="28"/>
        <v>207.8787249443107</v>
      </c>
      <c r="AW13" s="460">
        <f t="shared" si="28"/>
        <v>217.46798774313766</v>
      </c>
      <c r="AX13" s="460">
        <f t="shared" si="28"/>
        <v>227.49959480326214</v>
      </c>
    </row>
    <row r="14" spans="1:50">
      <c r="A14" s="277">
        <v>8</v>
      </c>
      <c r="B14" s="640" t="s">
        <v>275</v>
      </c>
      <c r="C14" s="434">
        <v>0</v>
      </c>
      <c r="D14" s="434">
        <v>0</v>
      </c>
      <c r="E14" s="434">
        <v>0</v>
      </c>
      <c r="F14" s="434">
        <v>0</v>
      </c>
      <c r="G14" s="434">
        <v>0</v>
      </c>
      <c r="H14" s="683" t="s">
        <v>65</v>
      </c>
      <c r="I14" s="698" t="s">
        <v>65</v>
      </c>
      <c r="J14" s="441"/>
      <c r="L14" s="277">
        <v>8</v>
      </c>
      <c r="M14" s="285" t="s">
        <v>275</v>
      </c>
      <c r="N14" s="452">
        <f t="shared" si="0"/>
        <v>0</v>
      </c>
      <c r="O14" s="452">
        <f t="shared" si="1"/>
        <v>0</v>
      </c>
      <c r="P14" s="452">
        <f t="shared" si="2"/>
        <v>0</v>
      </c>
      <c r="Q14" s="452">
        <f t="shared" si="3"/>
        <v>0</v>
      </c>
      <c r="R14" s="452">
        <f t="shared" si="4"/>
        <v>0</v>
      </c>
      <c r="S14" s="259"/>
      <c r="U14" s="277">
        <v>8</v>
      </c>
      <c r="V14" s="640" t="s">
        <v>275</v>
      </c>
      <c r="W14" s="737">
        <f t="shared" si="10"/>
        <v>0</v>
      </c>
      <c r="X14" s="460">
        <f t="shared" si="11"/>
        <v>0</v>
      </c>
      <c r="Y14" s="460">
        <f t="shared" si="12"/>
        <v>0</v>
      </c>
      <c r="Z14" s="460">
        <f t="shared" si="13"/>
        <v>0</v>
      </c>
      <c r="AC14" s="277">
        <v>8</v>
      </c>
      <c r="AD14" s="418" t="s">
        <v>275</v>
      </c>
      <c r="AE14" s="460">
        <f t="shared" si="14"/>
        <v>0</v>
      </c>
      <c r="AF14" s="460">
        <f t="shared" ref="AF14:AI14" si="29">AE14*$Y$39+AE14</f>
        <v>0</v>
      </c>
      <c r="AG14" s="460">
        <f t="shared" si="29"/>
        <v>0</v>
      </c>
      <c r="AH14" s="460">
        <f t="shared" si="29"/>
        <v>0</v>
      </c>
      <c r="AI14" s="460">
        <f t="shared" si="29"/>
        <v>0</v>
      </c>
      <c r="AK14" s="277">
        <v>8</v>
      </c>
      <c r="AL14" s="640" t="s">
        <v>275</v>
      </c>
      <c r="AM14" s="460">
        <f t="shared" si="16"/>
        <v>0</v>
      </c>
      <c r="AN14" s="460">
        <f t="shared" si="6"/>
        <v>0</v>
      </c>
      <c r="AO14" s="460">
        <f t="shared" si="7"/>
        <v>0</v>
      </c>
      <c r="AP14" s="460">
        <f t="shared" ref="AP14:AP30" si="30">AO14*$AN$38+AO14</f>
        <v>0</v>
      </c>
      <c r="AR14" s="277">
        <v>8</v>
      </c>
      <c r="AS14" s="418" t="s">
        <v>275</v>
      </c>
      <c r="AT14" s="460">
        <f t="shared" si="17"/>
        <v>0</v>
      </c>
      <c r="AU14" s="460">
        <f t="shared" ref="AU14:AX14" si="31">AT14*$Y$39+AT14</f>
        <v>0</v>
      </c>
      <c r="AV14" s="460">
        <f t="shared" si="31"/>
        <v>0</v>
      </c>
      <c r="AW14" s="460">
        <f t="shared" si="31"/>
        <v>0</v>
      </c>
      <c r="AX14" s="460">
        <f t="shared" si="31"/>
        <v>0</v>
      </c>
    </row>
    <row r="15" spans="1:50">
      <c r="A15" s="277">
        <v>9</v>
      </c>
      <c r="B15" s="640" t="s">
        <v>276</v>
      </c>
      <c r="C15" s="434">
        <v>327123.38040000002</v>
      </c>
      <c r="D15" s="434">
        <v>182025.96840000001</v>
      </c>
      <c r="E15" s="434">
        <v>170267.85800000001</v>
      </c>
      <c r="F15" s="434">
        <v>225049.63639999999</v>
      </c>
      <c r="G15" s="434">
        <v>232015.23920000001</v>
      </c>
      <c r="H15" s="685" t="s">
        <v>265</v>
      </c>
      <c r="I15" s="699" t="s">
        <v>266</v>
      </c>
      <c r="J15" s="442"/>
      <c r="L15" s="277">
        <v>9</v>
      </c>
      <c r="M15" s="285" t="s">
        <v>276</v>
      </c>
      <c r="N15" s="452">
        <f t="shared" si="0"/>
        <v>3.2712338040000004</v>
      </c>
      <c r="O15" s="452">
        <f t="shared" si="1"/>
        <v>1.820259684</v>
      </c>
      <c r="P15" s="452">
        <f t="shared" si="2"/>
        <v>1.7026785800000002</v>
      </c>
      <c r="Q15" s="452">
        <f t="shared" si="3"/>
        <v>2.250496364</v>
      </c>
      <c r="R15" s="452">
        <f t="shared" si="4"/>
        <v>2.3201523920000002</v>
      </c>
      <c r="S15" s="259"/>
      <c r="U15" s="277">
        <v>9</v>
      </c>
      <c r="V15" s="640" t="s">
        <v>276</v>
      </c>
      <c r="W15" s="737">
        <f t="shared" si="10"/>
        <v>2.2729641648000003</v>
      </c>
      <c r="X15" s="460">
        <f t="shared" si="11"/>
        <v>2.383324387876554</v>
      </c>
      <c r="Y15" s="460">
        <f t="shared" si="12"/>
        <v>2.4932650462884438</v>
      </c>
      <c r="Z15" s="460">
        <f t="shared" si="13"/>
        <v>2.6082771706046493</v>
      </c>
      <c r="AC15" s="277">
        <v>9</v>
      </c>
      <c r="AD15" s="418" t="s">
        <v>276</v>
      </c>
      <c r="AE15" s="460">
        <f t="shared" si="14"/>
        <v>2.7285947030881159</v>
      </c>
      <c r="AF15" s="460">
        <f t="shared" ref="AF15:AI15" si="32">AE15*$Y$39+AE15</f>
        <v>2.8544623775526796</v>
      </c>
      <c r="AG15" s="460">
        <f t="shared" si="32"/>
        <v>2.9861362171678199</v>
      </c>
      <c r="AH15" s="460">
        <f t="shared" si="32"/>
        <v>3.1238840552267084</v>
      </c>
      <c r="AI15" s="460">
        <f t="shared" si="32"/>
        <v>3.2679860799368323</v>
      </c>
      <c r="AK15" s="277">
        <v>9</v>
      </c>
      <c r="AL15" s="640" t="s">
        <v>276</v>
      </c>
      <c r="AM15" s="460">
        <f t="shared" si="16"/>
        <v>2.2729641648000003</v>
      </c>
      <c r="AN15" s="460">
        <f t="shared" si="6"/>
        <v>2.406054029524554</v>
      </c>
      <c r="AO15" s="460">
        <f t="shared" si="7"/>
        <v>2.5411037266152743</v>
      </c>
      <c r="AP15" s="460">
        <f t="shared" si="30"/>
        <v>2.6837336444576869</v>
      </c>
      <c r="AR15" s="277">
        <v>9</v>
      </c>
      <c r="AS15" s="418" t="s">
        <v>276</v>
      </c>
      <c r="AT15" s="460">
        <f t="shared" si="17"/>
        <v>2.8075319177328986</v>
      </c>
      <c r="AU15" s="460">
        <f t="shared" ref="AU15:AX15" si="33">AT15*$Y$39+AT15</f>
        <v>2.9370408965013972</v>
      </c>
      <c r="AV15" s="460">
        <f t="shared" si="33"/>
        <v>3.0725240105862999</v>
      </c>
      <c r="AW15" s="460">
        <f t="shared" si="33"/>
        <v>3.214256841596836</v>
      </c>
      <c r="AX15" s="460">
        <f t="shared" si="33"/>
        <v>3.362527683479557</v>
      </c>
    </row>
    <row r="16" spans="1:50">
      <c r="A16" s="277">
        <v>10</v>
      </c>
      <c r="B16" s="640" t="s">
        <v>277</v>
      </c>
      <c r="C16" s="434">
        <v>23026.1512</v>
      </c>
      <c r="D16" s="434">
        <v>23899.632799999999</v>
      </c>
      <c r="E16" s="434">
        <v>26193.518799999998</v>
      </c>
      <c r="F16" s="434">
        <v>37118.767200000002</v>
      </c>
      <c r="G16" s="434">
        <v>39449.356800000001</v>
      </c>
      <c r="H16" s="686" t="s">
        <v>265</v>
      </c>
      <c r="I16" s="700" t="s">
        <v>266</v>
      </c>
      <c r="J16" s="443"/>
      <c r="L16" s="277">
        <v>10</v>
      </c>
      <c r="M16" s="285" t="s">
        <v>277</v>
      </c>
      <c r="N16" s="452">
        <f t="shared" si="0"/>
        <v>0.230261512</v>
      </c>
      <c r="O16" s="452">
        <f t="shared" si="1"/>
        <v>0.23899632800000001</v>
      </c>
      <c r="P16" s="452">
        <f t="shared" si="2"/>
        <v>0.26193518799999999</v>
      </c>
      <c r="Q16" s="452">
        <f t="shared" si="3"/>
        <v>0.37118767200000002</v>
      </c>
      <c r="R16" s="452">
        <f t="shared" si="4"/>
        <v>0.39449356800000002</v>
      </c>
      <c r="S16" s="259"/>
      <c r="U16" s="277">
        <v>10</v>
      </c>
      <c r="V16" s="640" t="s">
        <v>277</v>
      </c>
      <c r="W16" s="737">
        <f t="shared" si="10"/>
        <v>0.29937485359999999</v>
      </c>
      <c r="X16" s="460">
        <f t="shared" si="11"/>
        <v>0.31391053178554401</v>
      </c>
      <c r="Y16" s="460">
        <f t="shared" si="12"/>
        <v>0.32839094860269308</v>
      </c>
      <c r="Z16" s="460">
        <f t="shared" si="13"/>
        <v>0.34353933431532863</v>
      </c>
      <c r="AC16" s="277">
        <v>10</v>
      </c>
      <c r="AD16" s="418" t="s">
        <v>277</v>
      </c>
      <c r="AE16" s="460">
        <f t="shared" si="14"/>
        <v>0.35938650174127024</v>
      </c>
      <c r="AF16" s="460">
        <f t="shared" ref="AF16:AI16" si="34">AE16*$Y$39+AE16</f>
        <v>0.37596468506653041</v>
      </c>
      <c r="AG16" s="460">
        <f t="shared" si="34"/>
        <v>0.39330760541177967</v>
      </c>
      <c r="AH16" s="460">
        <f t="shared" si="34"/>
        <v>0.41145053942333498</v>
      </c>
      <c r="AI16" s="460">
        <f t="shared" si="34"/>
        <v>0.43043039102818986</v>
      </c>
      <c r="AK16" s="277">
        <v>10</v>
      </c>
      <c r="AL16" s="640" t="s">
        <v>277</v>
      </c>
      <c r="AM16" s="460">
        <f t="shared" si="16"/>
        <v>0.29937485359999999</v>
      </c>
      <c r="AN16" s="460">
        <f t="shared" si="6"/>
        <v>0.316904280321544</v>
      </c>
      <c r="AO16" s="460">
        <f t="shared" si="7"/>
        <v>0.3346918389295418</v>
      </c>
      <c r="AP16" s="460">
        <f t="shared" si="30"/>
        <v>0.35347779756202624</v>
      </c>
      <c r="AR16" s="277">
        <v>10</v>
      </c>
      <c r="AS16" s="418" t="s">
        <v>277</v>
      </c>
      <c r="AT16" s="460">
        <f t="shared" si="17"/>
        <v>0.36978341755888194</v>
      </c>
      <c r="AU16" s="460">
        <f t="shared" ref="AU16:AX16" si="35">AT16*$Y$39+AT16</f>
        <v>0.38684120146904599</v>
      </c>
      <c r="AV16" s="460">
        <f t="shared" si="35"/>
        <v>0.40468584595247925</v>
      </c>
      <c r="AW16" s="460">
        <f t="shared" si="35"/>
        <v>0.42335364819555882</v>
      </c>
      <c r="AX16" s="460">
        <f t="shared" si="35"/>
        <v>0.44288257974195394</v>
      </c>
    </row>
    <row r="17" spans="1:50">
      <c r="A17" s="277">
        <v>11</v>
      </c>
      <c r="B17" s="640" t="s">
        <v>278</v>
      </c>
      <c r="C17" s="434">
        <v>147446.72719999999</v>
      </c>
      <c r="D17" s="434">
        <v>90042.296799999996</v>
      </c>
      <c r="E17" s="434">
        <v>96999.070800000001</v>
      </c>
      <c r="F17" s="434">
        <v>156092.7212</v>
      </c>
      <c r="G17" s="434">
        <v>159278.17360000001</v>
      </c>
      <c r="H17" s="687" t="s">
        <v>265</v>
      </c>
      <c r="I17" s="701" t="s">
        <v>266</v>
      </c>
      <c r="J17" s="444"/>
      <c r="L17" s="277">
        <v>11</v>
      </c>
      <c r="M17" s="285" t="s">
        <v>278</v>
      </c>
      <c r="N17" s="452">
        <f t="shared" si="0"/>
        <v>1.4744672719999998</v>
      </c>
      <c r="O17" s="452">
        <f t="shared" si="1"/>
        <v>0.90042296799999999</v>
      </c>
      <c r="P17" s="452">
        <f t="shared" si="2"/>
        <v>0.96999070799999998</v>
      </c>
      <c r="Q17" s="452">
        <f t="shared" si="3"/>
        <v>1.560927212</v>
      </c>
      <c r="R17" s="452">
        <f t="shared" si="4"/>
        <v>1.5927817360000001</v>
      </c>
      <c r="S17" s="259"/>
      <c r="U17" s="277">
        <v>11</v>
      </c>
      <c r="V17" s="640" t="s">
        <v>278</v>
      </c>
      <c r="W17" s="737">
        <f t="shared" si="10"/>
        <v>1.2997179792</v>
      </c>
      <c r="X17" s="460">
        <f t="shared" si="11"/>
        <v>1.3628237546197988</v>
      </c>
      <c r="Y17" s="460">
        <f t="shared" si="12"/>
        <v>1.4256896161216637</v>
      </c>
      <c r="Z17" s="460">
        <f t="shared" si="13"/>
        <v>1.4914554245381419</v>
      </c>
      <c r="AC17" s="277">
        <v>11</v>
      </c>
      <c r="AD17" s="418" t="s">
        <v>278</v>
      </c>
      <c r="AE17" s="460">
        <f t="shared" si="14"/>
        <v>1.56025495187055</v>
      </c>
      <c r="AF17" s="460">
        <f t="shared" ref="AF17:AI17" si="36">AE17*$Y$39+AE17</f>
        <v>1.6322281409050021</v>
      </c>
      <c r="AG17" s="460">
        <f t="shared" si="36"/>
        <v>1.7075213898652881</v>
      </c>
      <c r="AH17" s="460">
        <f t="shared" si="36"/>
        <v>1.7862878501965362</v>
      </c>
      <c r="AI17" s="460">
        <f t="shared" si="36"/>
        <v>1.8686877380853761</v>
      </c>
      <c r="AK17" s="277">
        <v>11</v>
      </c>
      <c r="AL17" s="640" t="s">
        <v>278</v>
      </c>
      <c r="AM17" s="460">
        <f t="shared" si="16"/>
        <v>1.2997179792</v>
      </c>
      <c r="AN17" s="460">
        <f t="shared" si="6"/>
        <v>1.3758209344117989</v>
      </c>
      <c r="AO17" s="460">
        <f t="shared" si="7"/>
        <v>1.4530445537334733</v>
      </c>
      <c r="AP17" s="460">
        <f t="shared" si="30"/>
        <v>1.5346026669067685</v>
      </c>
      <c r="AR17" s="277">
        <v>11</v>
      </c>
      <c r="AS17" s="418" t="s">
        <v>278</v>
      </c>
      <c r="AT17" s="460">
        <f t="shared" si="17"/>
        <v>1.6053925385912899</v>
      </c>
      <c r="AU17" s="460">
        <f t="shared" ref="AU17:AX17" si="37">AT17*$Y$39+AT17</f>
        <v>1.6794478848127559</v>
      </c>
      <c r="AV17" s="460">
        <f t="shared" si="37"/>
        <v>1.7569193390403006</v>
      </c>
      <c r="AW17" s="460">
        <f t="shared" si="37"/>
        <v>1.8379644833325417</v>
      </c>
      <c r="AX17" s="460">
        <f t="shared" si="37"/>
        <v>1.9227481688699024</v>
      </c>
    </row>
    <row r="18" spans="1:50">
      <c r="A18" s="277">
        <v>12</v>
      </c>
      <c r="B18" s="640" t="s">
        <v>279</v>
      </c>
      <c r="C18" s="434">
        <v>169871.95324800001</v>
      </c>
      <c r="D18" s="434">
        <v>158090.84631600001</v>
      </c>
      <c r="E18" s="434">
        <v>169132.20696400001</v>
      </c>
      <c r="F18" s="434">
        <v>181366.16939199998</v>
      </c>
      <c r="G18" s="434">
        <v>196089.72063199995</v>
      </c>
      <c r="H18" s="686" t="s">
        <v>265</v>
      </c>
      <c r="I18" s="700" t="s">
        <v>266</v>
      </c>
      <c r="J18" s="443"/>
      <c r="L18" s="277">
        <v>12</v>
      </c>
      <c r="M18" s="285" t="s">
        <v>279</v>
      </c>
      <c r="N18" s="452">
        <f t="shared" si="0"/>
        <v>1.69871953248</v>
      </c>
      <c r="O18" s="452">
        <f t="shared" si="1"/>
        <v>1.5809084631600001</v>
      </c>
      <c r="P18" s="452">
        <f t="shared" si="2"/>
        <v>1.6913220696400002</v>
      </c>
      <c r="Q18" s="452">
        <f t="shared" si="3"/>
        <v>1.8136616939199999</v>
      </c>
      <c r="R18" s="452">
        <f t="shared" si="4"/>
        <v>1.9608972063199996</v>
      </c>
      <c r="S18" s="259"/>
      <c r="U18" s="277">
        <v>12</v>
      </c>
      <c r="V18" s="640" t="s">
        <v>279</v>
      </c>
      <c r="W18" s="737">
        <f t="shared" si="10"/>
        <v>1.7491017931040003</v>
      </c>
      <c r="X18" s="460">
        <f t="shared" si="11"/>
        <v>1.8340266973589436</v>
      </c>
      <c r="Y18" s="460">
        <f t="shared" si="12"/>
        <v>1.9186287362917445</v>
      </c>
      <c r="Z18" s="460">
        <f t="shared" si="13"/>
        <v>2.0071333928919404</v>
      </c>
      <c r="AC18" s="277">
        <v>12</v>
      </c>
      <c r="AD18" s="418" t="s">
        <v>279</v>
      </c>
      <c r="AE18" s="460">
        <f t="shared" si="14"/>
        <v>2.0997206914810485</v>
      </c>
      <c r="AF18" s="460">
        <f t="shared" ref="AF18:AI18" si="38">AE18*$Y$39+AE18</f>
        <v>2.196578960744247</v>
      </c>
      <c r="AG18" s="460">
        <f t="shared" si="38"/>
        <v>2.2979052168033678</v>
      </c>
      <c r="AH18" s="460">
        <f t="shared" si="38"/>
        <v>2.4039055639607114</v>
      </c>
      <c r="AI18" s="460">
        <f t="shared" si="38"/>
        <v>2.514795613928821</v>
      </c>
      <c r="AK18" s="277">
        <v>12</v>
      </c>
      <c r="AL18" s="640" t="s">
        <v>279</v>
      </c>
      <c r="AM18" s="460">
        <f t="shared" si="16"/>
        <v>1.7491017931040003</v>
      </c>
      <c r="AN18" s="460">
        <f t="shared" si="6"/>
        <v>1.8515177152899838</v>
      </c>
      <c r="AO18" s="460">
        <f t="shared" si="7"/>
        <v>1.9554417766534042</v>
      </c>
      <c r="AP18" s="460">
        <f t="shared" si="30"/>
        <v>2.0651990042031803</v>
      </c>
      <c r="AR18" s="277">
        <v>12</v>
      </c>
      <c r="AS18" s="418" t="s">
        <v>279</v>
      </c>
      <c r="AT18" s="460">
        <f t="shared" si="17"/>
        <v>2.1604648183863548</v>
      </c>
      <c r="AU18" s="460">
        <f t="shared" ref="AU18:AX18" si="39">AT18*$Y$39+AT18</f>
        <v>2.2601251608128186</v>
      </c>
      <c r="AV18" s="460">
        <f t="shared" si="39"/>
        <v>2.3643827472064292</v>
      </c>
      <c r="AW18" s="460">
        <f t="shared" si="39"/>
        <v>2.4734496443891434</v>
      </c>
      <c r="AX18" s="460">
        <f t="shared" si="39"/>
        <v>2.587547701638949</v>
      </c>
    </row>
    <row r="19" spans="1:50">
      <c r="A19" s="277">
        <v>13</v>
      </c>
      <c r="B19" s="640" t="s">
        <v>280</v>
      </c>
      <c r="C19" s="683">
        <v>70800</v>
      </c>
      <c r="D19" s="683">
        <v>0</v>
      </c>
      <c r="E19" s="683">
        <v>0</v>
      </c>
      <c r="F19" s="688">
        <v>383500</v>
      </c>
      <c r="G19" s="683">
        <v>0</v>
      </c>
      <c r="H19" s="683" t="s">
        <v>257</v>
      </c>
      <c r="I19" s="698" t="s">
        <v>281</v>
      </c>
      <c r="J19" s="441"/>
      <c r="L19" s="277">
        <v>13</v>
      </c>
      <c r="M19" s="285" t="s">
        <v>280</v>
      </c>
      <c r="N19" s="452">
        <f t="shared" si="0"/>
        <v>0.70799999999999996</v>
      </c>
      <c r="O19" s="452">
        <f t="shared" si="1"/>
        <v>0</v>
      </c>
      <c r="P19" s="452">
        <f t="shared" si="2"/>
        <v>0</v>
      </c>
      <c r="Q19" s="452">
        <f t="shared" si="3"/>
        <v>3.835</v>
      </c>
      <c r="R19" s="452">
        <f t="shared" si="4"/>
        <v>0</v>
      </c>
      <c r="S19" s="259"/>
      <c r="U19" s="277">
        <v>13</v>
      </c>
      <c r="V19" s="640" t="s">
        <v>280</v>
      </c>
      <c r="W19" s="737">
        <f t="shared" si="10"/>
        <v>0.90860000000000007</v>
      </c>
      <c r="X19" s="460">
        <f t="shared" si="11"/>
        <v>0.95271565313709206</v>
      </c>
      <c r="Y19" s="460">
        <f t="shared" si="12"/>
        <v>0.99666358851592918</v>
      </c>
      <c r="Z19" s="460">
        <f t="shared" si="13"/>
        <v>1.0426388035114103</v>
      </c>
      <c r="AC19" s="277">
        <v>13</v>
      </c>
      <c r="AD19" s="418" t="s">
        <v>280</v>
      </c>
      <c r="AE19" s="460">
        <f t="shared" si="14"/>
        <v>1.090734814749712</v>
      </c>
      <c r="AF19" s="460">
        <f t="shared" ref="AF19:AI19" si="40">AE19*$Y$39+AE19</f>
        <v>1.1410494526967496</v>
      </c>
      <c r="AG19" s="460">
        <f t="shared" si="40"/>
        <v>1.193685060651811</v>
      </c>
      <c r="AH19" s="460">
        <f t="shared" si="40"/>
        <v>1.2487487029205921</v>
      </c>
      <c r="AI19" s="460">
        <f t="shared" si="40"/>
        <v>1.3063523825910719</v>
      </c>
      <c r="AK19" s="277">
        <v>13</v>
      </c>
      <c r="AL19" s="640" t="s">
        <v>280</v>
      </c>
      <c r="AM19" s="460">
        <f t="shared" si="16"/>
        <v>0.90860000000000007</v>
      </c>
      <c r="AN19" s="460">
        <f t="shared" si="6"/>
        <v>0.96180165313709198</v>
      </c>
      <c r="AO19" s="460">
        <f t="shared" si="7"/>
        <v>1.0157867342381948</v>
      </c>
      <c r="AP19" s="460">
        <f t="shared" si="30"/>
        <v>1.0728019504736954</v>
      </c>
      <c r="AR19" s="277">
        <v>13</v>
      </c>
      <c r="AS19" s="418" t="s">
        <v>280</v>
      </c>
      <c r="AT19" s="460">
        <f t="shared" si="17"/>
        <v>1.1222893611596245</v>
      </c>
      <c r="AU19" s="460">
        <f t="shared" ref="AU19:AX19" si="41">AT19*$Y$39+AT19</f>
        <v>1.1740595825873839</v>
      </c>
      <c r="AV19" s="460">
        <f t="shared" si="41"/>
        <v>1.2282179188092726</v>
      </c>
      <c r="AW19" s="460">
        <f t="shared" si="41"/>
        <v>1.2848745314609307</v>
      </c>
      <c r="AX19" s="460">
        <f t="shared" si="41"/>
        <v>1.3441446638373882</v>
      </c>
    </row>
    <row r="20" spans="1:50">
      <c r="A20" s="277">
        <v>14</v>
      </c>
      <c r="B20" s="640" t="s">
        <v>282</v>
      </c>
      <c r="C20" s="434">
        <v>0</v>
      </c>
      <c r="D20" s="434">
        <v>0</v>
      </c>
      <c r="E20" s="434">
        <v>0</v>
      </c>
      <c r="F20" s="434">
        <v>0</v>
      </c>
      <c r="G20" s="434">
        <v>0</v>
      </c>
      <c r="H20" s="683" t="s">
        <v>65</v>
      </c>
      <c r="I20" s="698" t="s">
        <v>65</v>
      </c>
      <c r="J20" s="441"/>
      <c r="L20" s="277">
        <v>14</v>
      </c>
      <c r="M20" s="285" t="s">
        <v>282</v>
      </c>
      <c r="N20" s="452">
        <f t="shared" si="0"/>
        <v>0</v>
      </c>
      <c r="O20" s="452">
        <f t="shared" si="1"/>
        <v>0</v>
      </c>
      <c r="P20" s="452">
        <f t="shared" si="2"/>
        <v>0</v>
      </c>
      <c r="Q20" s="452">
        <f t="shared" si="3"/>
        <v>0</v>
      </c>
      <c r="R20" s="452">
        <f t="shared" si="4"/>
        <v>0</v>
      </c>
      <c r="S20" s="259"/>
      <c r="U20" s="277">
        <v>14</v>
      </c>
      <c r="V20" s="640" t="s">
        <v>282</v>
      </c>
      <c r="W20" s="737">
        <f t="shared" si="10"/>
        <v>0</v>
      </c>
      <c r="X20" s="460">
        <f t="shared" si="11"/>
        <v>0</v>
      </c>
      <c r="Y20" s="460">
        <f t="shared" si="12"/>
        <v>0</v>
      </c>
      <c r="Z20" s="460">
        <f t="shared" si="13"/>
        <v>0</v>
      </c>
      <c r="AC20" s="277">
        <v>14</v>
      </c>
      <c r="AD20" s="418" t="s">
        <v>282</v>
      </c>
      <c r="AE20" s="460">
        <f t="shared" si="14"/>
        <v>0</v>
      </c>
      <c r="AF20" s="460">
        <f t="shared" ref="AF20:AI20" si="42">AE20*$Y$39+AE20</f>
        <v>0</v>
      </c>
      <c r="AG20" s="460">
        <f t="shared" si="42"/>
        <v>0</v>
      </c>
      <c r="AH20" s="460">
        <f t="shared" si="42"/>
        <v>0</v>
      </c>
      <c r="AI20" s="460">
        <f t="shared" si="42"/>
        <v>0</v>
      </c>
      <c r="AK20" s="277">
        <v>14</v>
      </c>
      <c r="AL20" s="640" t="s">
        <v>282</v>
      </c>
      <c r="AM20" s="460">
        <f t="shared" si="16"/>
        <v>0</v>
      </c>
      <c r="AN20" s="460">
        <f t="shared" si="6"/>
        <v>0</v>
      </c>
      <c r="AO20" s="460">
        <f t="shared" si="7"/>
        <v>0</v>
      </c>
      <c r="AP20" s="460">
        <f t="shared" si="30"/>
        <v>0</v>
      </c>
      <c r="AR20" s="277">
        <v>14</v>
      </c>
      <c r="AS20" s="418" t="s">
        <v>282</v>
      </c>
      <c r="AT20" s="460">
        <f t="shared" si="17"/>
        <v>0</v>
      </c>
      <c r="AU20" s="460">
        <f t="shared" ref="AU20:AX20" si="43">AT20*$Y$39+AT20</f>
        <v>0</v>
      </c>
      <c r="AV20" s="460">
        <f t="shared" si="43"/>
        <v>0</v>
      </c>
      <c r="AW20" s="460">
        <f t="shared" si="43"/>
        <v>0</v>
      </c>
      <c r="AX20" s="460">
        <f t="shared" si="43"/>
        <v>0</v>
      </c>
    </row>
    <row r="21" spans="1:50" ht="39.6">
      <c r="A21" s="277">
        <v>15</v>
      </c>
      <c r="B21" s="640" t="s">
        <v>283</v>
      </c>
      <c r="C21" s="434">
        <v>139382.67967649997</v>
      </c>
      <c r="D21" s="434">
        <v>131627.3214165</v>
      </c>
      <c r="E21" s="434">
        <v>199268.14225500001</v>
      </c>
      <c r="F21" s="434">
        <v>303434.11</v>
      </c>
      <c r="G21" s="434">
        <v>1213736.44</v>
      </c>
      <c r="H21" s="683" t="s">
        <v>284</v>
      </c>
      <c r="I21" s="698" t="s">
        <v>285</v>
      </c>
      <c r="J21" s="441"/>
      <c r="L21" s="277">
        <v>15</v>
      </c>
      <c r="M21" s="285" t="s">
        <v>283</v>
      </c>
      <c r="N21" s="452">
        <f t="shared" si="0"/>
        <v>1.3938267967649998</v>
      </c>
      <c r="O21" s="452">
        <f t="shared" si="1"/>
        <v>1.316273214165</v>
      </c>
      <c r="P21" s="452">
        <f t="shared" si="2"/>
        <v>1.99268142255</v>
      </c>
      <c r="Q21" s="452">
        <f t="shared" si="3"/>
        <v>3.0343410999999998</v>
      </c>
      <c r="R21" s="452">
        <f t="shared" si="4"/>
        <v>12.137364399999999</v>
      </c>
      <c r="S21" s="259"/>
      <c r="U21" s="277">
        <v>15</v>
      </c>
      <c r="V21" s="640" t="s">
        <v>283</v>
      </c>
      <c r="W21" s="737">
        <f t="shared" si="10"/>
        <v>3.974897386696</v>
      </c>
      <c r="X21" s="460">
        <f t="shared" si="11"/>
        <v>4.1678923177624911</v>
      </c>
      <c r="Y21" s="460">
        <f t="shared" si="12"/>
        <v>4.3601535256515778</v>
      </c>
      <c r="Z21" s="460">
        <f t="shared" si="13"/>
        <v>4.5612835740098481</v>
      </c>
      <c r="AC21" s="277">
        <v>15</v>
      </c>
      <c r="AD21" s="418" t="s">
        <v>283</v>
      </c>
      <c r="AE21" s="460">
        <f t="shared" si="14"/>
        <v>4.7716915746499833</v>
      </c>
      <c r="AF21" s="460">
        <f t="shared" ref="AF21:AI21" si="44">AE21*$Y$39+AE21</f>
        <v>4.9918055113528617</v>
      </c>
      <c r="AG21" s="460">
        <f t="shared" si="44"/>
        <v>5.2220731104148568</v>
      </c>
      <c r="AH21" s="460">
        <f t="shared" si="44"/>
        <v>5.4629627513527188</v>
      </c>
      <c r="AI21" s="460">
        <f t="shared" si="44"/>
        <v>5.7149644196184717</v>
      </c>
      <c r="AK21" s="277">
        <v>15</v>
      </c>
      <c r="AL21" s="640" t="s">
        <v>283</v>
      </c>
      <c r="AM21" s="460">
        <f t="shared" si="16"/>
        <v>3.974897386696</v>
      </c>
      <c r="AN21" s="460">
        <f t="shared" si="6"/>
        <v>4.207641291629451</v>
      </c>
      <c r="AO21" s="460">
        <f t="shared" si="7"/>
        <v>4.443812497648981</v>
      </c>
      <c r="AP21" s="460">
        <f t="shared" si="30"/>
        <v>4.6932397858026231</v>
      </c>
      <c r="AR21" s="277">
        <v>15</v>
      </c>
      <c r="AS21" s="418" t="s">
        <v>283</v>
      </c>
      <c r="AT21" s="460">
        <f t="shared" si="17"/>
        <v>4.9097348104667784</v>
      </c>
      <c r="AU21" s="460">
        <f t="shared" ref="AU21:AX21" si="45">AT21*$Y$39+AT21</f>
        <v>5.1362165602597276</v>
      </c>
      <c r="AV21" s="460">
        <f t="shared" si="45"/>
        <v>5.3731457140305707</v>
      </c>
      <c r="AW21" s="460">
        <f t="shared" si="45"/>
        <v>5.6210042013386534</v>
      </c>
      <c r="AX21" s="460">
        <f t="shared" si="45"/>
        <v>5.8802961827301425</v>
      </c>
    </row>
    <row r="22" spans="1:50" ht="39.6">
      <c r="A22" s="277">
        <v>16</v>
      </c>
      <c r="B22" s="640" t="s">
        <v>286</v>
      </c>
      <c r="C22" s="434">
        <v>57931.650152999988</v>
      </c>
      <c r="D22" s="434">
        <v>41328.580253999993</v>
      </c>
      <c r="E22" s="434">
        <v>55960.015956000003</v>
      </c>
      <c r="F22" s="434">
        <v>21684</v>
      </c>
      <c r="G22" s="434">
        <v>7080</v>
      </c>
      <c r="H22" s="683" t="s">
        <v>284</v>
      </c>
      <c r="I22" s="698" t="s">
        <v>285</v>
      </c>
      <c r="J22" s="441"/>
      <c r="L22" s="277">
        <v>16</v>
      </c>
      <c r="M22" s="285" t="s">
        <v>286</v>
      </c>
      <c r="N22" s="452">
        <f t="shared" si="0"/>
        <v>0.57931650152999992</v>
      </c>
      <c r="O22" s="452">
        <f t="shared" si="1"/>
        <v>0.41328580253999991</v>
      </c>
      <c r="P22" s="452">
        <f t="shared" si="2"/>
        <v>0.55960015955999998</v>
      </c>
      <c r="Q22" s="452">
        <f t="shared" si="3"/>
        <v>0.21684</v>
      </c>
      <c r="R22" s="452">
        <f t="shared" si="4"/>
        <v>7.0800000000000002E-2</v>
      </c>
      <c r="S22" s="259"/>
      <c r="U22" s="277">
        <v>16</v>
      </c>
      <c r="V22" s="640" t="s">
        <v>286</v>
      </c>
      <c r="W22" s="737">
        <f t="shared" si="10"/>
        <v>0.36796849272599996</v>
      </c>
      <c r="X22" s="460">
        <f t="shared" si="11"/>
        <v>0.38583462786850353</v>
      </c>
      <c r="Y22" s="460">
        <f t="shared" si="12"/>
        <v>0.40363283999680022</v>
      </c>
      <c r="Z22" s="460">
        <f t="shared" si="13"/>
        <v>0.42225206800102755</v>
      </c>
      <c r="AC22" s="277">
        <v>16</v>
      </c>
      <c r="AD22" s="418" t="s">
        <v>286</v>
      </c>
      <c r="AE22" s="460">
        <f t="shared" si="14"/>
        <v>0.44173018462164237</v>
      </c>
      <c r="AF22" s="460">
        <f t="shared" ref="AF22:AI22" si="46">AE22*$Y$39+AE22</f>
        <v>0.46210680963531814</v>
      </c>
      <c r="AG22" s="460">
        <f t="shared" si="46"/>
        <v>0.48342339044418958</v>
      </c>
      <c r="AH22" s="460">
        <f t="shared" si="46"/>
        <v>0.50572328638260811</v>
      </c>
      <c r="AI22" s="460">
        <f t="shared" si="46"/>
        <v>0.52905185691289391</v>
      </c>
      <c r="AK22" s="277">
        <v>16</v>
      </c>
      <c r="AL22" s="640" t="s">
        <v>286</v>
      </c>
      <c r="AM22" s="460">
        <f t="shared" si="16"/>
        <v>0.36796849272599996</v>
      </c>
      <c r="AN22" s="460">
        <f t="shared" si="6"/>
        <v>0.38951431279576354</v>
      </c>
      <c r="AO22" s="460">
        <f t="shared" si="7"/>
        <v>0.41137740868225225</v>
      </c>
      <c r="AP22" s="460">
        <f t="shared" si="30"/>
        <v>0.43446766091714567</v>
      </c>
      <c r="AR22" s="277">
        <v>16</v>
      </c>
      <c r="AS22" s="418" t="s">
        <v>286</v>
      </c>
      <c r="AT22" s="460">
        <f t="shared" si="17"/>
        <v>0.4545092720980986</v>
      </c>
      <c r="AU22" s="460">
        <f t="shared" ref="AU22:AX22" si="47">AT22*$Y$39+AT22</f>
        <v>0.47547538518071347</v>
      </c>
      <c r="AV22" s="460">
        <f t="shared" si="47"/>
        <v>0.4974086466248212</v>
      </c>
      <c r="AW22" s="460">
        <f t="shared" si="47"/>
        <v>0.52035367013394673</v>
      </c>
      <c r="AX22" s="460">
        <f t="shared" si="47"/>
        <v>0.54435712740253084</v>
      </c>
    </row>
    <row r="23" spans="1:50">
      <c r="A23" s="277">
        <v>17</v>
      </c>
      <c r="B23" s="640" t="s">
        <v>287</v>
      </c>
      <c r="C23" s="683">
        <v>4403562.9400000004</v>
      </c>
      <c r="D23" s="683">
        <v>0</v>
      </c>
      <c r="E23" s="683">
        <v>0</v>
      </c>
      <c r="F23" s="683">
        <v>2829688.42</v>
      </c>
      <c r="G23" s="683">
        <v>48673.98000000001</v>
      </c>
      <c r="H23" s="683" t="s">
        <v>257</v>
      </c>
      <c r="I23" s="698" t="s">
        <v>268</v>
      </c>
      <c r="J23" s="441"/>
      <c r="L23" s="277">
        <v>17</v>
      </c>
      <c r="M23" s="285" t="s">
        <v>287</v>
      </c>
      <c r="N23" s="452">
        <f t="shared" si="0"/>
        <v>44.035629400000005</v>
      </c>
      <c r="O23" s="452">
        <f t="shared" si="1"/>
        <v>0</v>
      </c>
      <c r="P23" s="452">
        <f t="shared" si="2"/>
        <v>0</v>
      </c>
      <c r="Q23" s="452">
        <f t="shared" si="3"/>
        <v>28.296884200000001</v>
      </c>
      <c r="R23" s="452">
        <f t="shared" si="4"/>
        <v>0.48673980000000011</v>
      </c>
      <c r="S23" s="259"/>
      <c r="U23" s="277">
        <v>17</v>
      </c>
      <c r="V23" s="640" t="s">
        <v>287</v>
      </c>
      <c r="W23" s="737">
        <f t="shared" si="10"/>
        <v>14.563850679999998</v>
      </c>
      <c r="X23" s="460">
        <f t="shared" si="11"/>
        <v>15.270975690939114</v>
      </c>
      <c r="Y23" s="460">
        <f t="shared" si="12"/>
        <v>15.97541237215381</v>
      </c>
      <c r="Z23" s="460">
        <f t="shared" si="13"/>
        <v>16.7123440980784</v>
      </c>
      <c r="AC23" s="277">
        <v>17</v>
      </c>
      <c r="AD23" s="418" t="s">
        <v>288</v>
      </c>
      <c r="AE23" s="460">
        <f t="shared" si="14"/>
        <v>17.483269836553227</v>
      </c>
      <c r="AF23" s="460">
        <f t="shared" ref="AF23:AI23" si="48">AE23*$Y$39+AE23</f>
        <v>18.289757701487101</v>
      </c>
      <c r="AG23" s="460">
        <f t="shared" si="48"/>
        <v>19.133448142504637</v>
      </c>
      <c r="AH23" s="460">
        <f t="shared" si="48"/>
        <v>20.016057281729232</v>
      </c>
      <c r="AI23" s="460">
        <f t="shared" si="48"/>
        <v>20.93938040448888</v>
      </c>
      <c r="AK23" s="277">
        <v>17</v>
      </c>
      <c r="AL23" s="640" t="s">
        <v>287</v>
      </c>
      <c r="AM23" s="460">
        <f t="shared" si="16"/>
        <v>14.563850679999998</v>
      </c>
      <c r="AN23" s="460">
        <f t="shared" si="6"/>
        <v>15.416614197739113</v>
      </c>
      <c r="AO23" s="460">
        <f t="shared" si="7"/>
        <v>16.281935197193384</v>
      </c>
      <c r="AP23" s="460">
        <f t="shared" si="30"/>
        <v>17.195825903490704</v>
      </c>
      <c r="AR23" s="277">
        <v>17</v>
      </c>
      <c r="AS23" s="418" t="s">
        <v>288</v>
      </c>
      <c r="AT23" s="460">
        <f t="shared" si="17"/>
        <v>17.989054232535064</v>
      </c>
      <c r="AU23" s="460">
        <f t="shared" ref="AU23:AX23" si="49">AT23*$Y$39+AT23</f>
        <v>18.818873486931302</v>
      </c>
      <c r="AV23" s="460">
        <f t="shared" si="49"/>
        <v>19.686971573892365</v>
      </c>
      <c r="AW23" s="460">
        <f t="shared" si="49"/>
        <v>20.59511426230679</v>
      </c>
      <c r="AX23" s="460">
        <f t="shared" si="49"/>
        <v>21.545148774429354</v>
      </c>
    </row>
    <row r="24" spans="1:50">
      <c r="A24" s="277">
        <v>19</v>
      </c>
      <c r="B24" s="640" t="s">
        <v>289</v>
      </c>
      <c r="C24" s="689">
        <v>0</v>
      </c>
      <c r="D24" s="689">
        <v>0</v>
      </c>
      <c r="E24" s="689">
        <v>0</v>
      </c>
      <c r="F24" s="689">
        <v>0</v>
      </c>
      <c r="G24" s="689">
        <v>0</v>
      </c>
      <c r="H24" s="689" t="s">
        <v>257</v>
      </c>
      <c r="I24" s="702" t="s">
        <v>268</v>
      </c>
      <c r="J24" s="445"/>
      <c r="L24" s="277">
        <v>18</v>
      </c>
      <c r="M24" s="285" t="s">
        <v>289</v>
      </c>
      <c r="N24" s="452">
        <f t="shared" si="0"/>
        <v>0</v>
      </c>
      <c r="O24" s="452">
        <f t="shared" si="1"/>
        <v>0</v>
      </c>
      <c r="P24" s="452">
        <f t="shared" si="2"/>
        <v>0</v>
      </c>
      <c r="Q24" s="452">
        <f t="shared" si="3"/>
        <v>0</v>
      </c>
      <c r="R24" s="452">
        <f t="shared" si="4"/>
        <v>0</v>
      </c>
      <c r="S24" s="259"/>
      <c r="U24" s="277">
        <v>19</v>
      </c>
      <c r="V24" s="640" t="s">
        <v>289</v>
      </c>
      <c r="W24" s="737">
        <f t="shared" si="10"/>
        <v>0</v>
      </c>
      <c r="X24" s="460">
        <f t="shared" si="11"/>
        <v>0</v>
      </c>
      <c r="Y24" s="460">
        <f t="shared" si="12"/>
        <v>0</v>
      </c>
      <c r="Z24" s="460">
        <f t="shared" si="13"/>
        <v>0</v>
      </c>
      <c r="AC24" s="277">
        <v>18</v>
      </c>
      <c r="AD24" s="418" t="s">
        <v>290</v>
      </c>
      <c r="AE24" s="460">
        <f t="shared" si="14"/>
        <v>0</v>
      </c>
      <c r="AF24" s="460">
        <f t="shared" ref="AF24:AI24" si="50">AE24*$Y$39+AE24</f>
        <v>0</v>
      </c>
      <c r="AG24" s="460">
        <f t="shared" si="50"/>
        <v>0</v>
      </c>
      <c r="AH24" s="460">
        <f t="shared" si="50"/>
        <v>0</v>
      </c>
      <c r="AI24" s="460">
        <f t="shared" si="50"/>
        <v>0</v>
      </c>
      <c r="AK24" s="277">
        <v>19</v>
      </c>
      <c r="AL24" s="640" t="s">
        <v>289</v>
      </c>
      <c r="AM24" s="460">
        <f t="shared" si="16"/>
        <v>0</v>
      </c>
      <c r="AN24" s="460">
        <f t="shared" si="6"/>
        <v>0</v>
      </c>
      <c r="AO24" s="460">
        <f t="shared" si="7"/>
        <v>0</v>
      </c>
      <c r="AP24" s="460">
        <f t="shared" si="30"/>
        <v>0</v>
      </c>
      <c r="AR24" s="277">
        <v>18</v>
      </c>
      <c r="AS24" s="418" t="s">
        <v>290</v>
      </c>
      <c r="AT24" s="460">
        <f t="shared" si="17"/>
        <v>0</v>
      </c>
      <c r="AU24" s="460">
        <f t="shared" ref="AU24:AX24" si="51">AT24*$Y$39+AT24</f>
        <v>0</v>
      </c>
      <c r="AV24" s="460">
        <f t="shared" si="51"/>
        <v>0</v>
      </c>
      <c r="AW24" s="460">
        <f t="shared" si="51"/>
        <v>0</v>
      </c>
      <c r="AX24" s="460">
        <f t="shared" si="51"/>
        <v>0</v>
      </c>
    </row>
    <row r="25" spans="1:50">
      <c r="A25" s="277">
        <v>20</v>
      </c>
      <c r="B25" s="640" t="s">
        <v>291</v>
      </c>
      <c r="C25" s="683">
        <v>0</v>
      </c>
      <c r="D25" s="683">
        <v>0</v>
      </c>
      <c r="E25" s="683">
        <v>0</v>
      </c>
      <c r="F25" s="688">
        <v>0</v>
      </c>
      <c r="G25" s="683">
        <v>0</v>
      </c>
      <c r="H25" s="683" t="s">
        <v>257</v>
      </c>
      <c r="I25" s="698" t="s">
        <v>281</v>
      </c>
      <c r="J25" s="441"/>
      <c r="L25" s="277">
        <v>19</v>
      </c>
      <c r="M25" s="285" t="s">
        <v>292</v>
      </c>
      <c r="N25" s="452">
        <f t="shared" si="0"/>
        <v>0</v>
      </c>
      <c r="O25" s="452">
        <f t="shared" si="1"/>
        <v>0</v>
      </c>
      <c r="P25" s="452">
        <f t="shared" si="2"/>
        <v>0</v>
      </c>
      <c r="Q25" s="452">
        <f t="shared" si="3"/>
        <v>0</v>
      </c>
      <c r="R25" s="452">
        <f t="shared" si="4"/>
        <v>0</v>
      </c>
      <c r="S25" s="259"/>
      <c r="U25" s="277">
        <v>20</v>
      </c>
      <c r="V25" s="640" t="s">
        <v>291</v>
      </c>
      <c r="W25" s="737">
        <f t="shared" si="10"/>
        <v>0</v>
      </c>
      <c r="X25" s="460">
        <f t="shared" si="11"/>
        <v>0</v>
      </c>
      <c r="Y25" s="460">
        <f t="shared" si="12"/>
        <v>0</v>
      </c>
      <c r="Z25" s="460">
        <f t="shared" si="13"/>
        <v>0</v>
      </c>
      <c r="AC25" s="277">
        <v>19</v>
      </c>
      <c r="AD25" s="418" t="s">
        <v>292</v>
      </c>
      <c r="AE25" s="460">
        <f t="shared" si="14"/>
        <v>0</v>
      </c>
      <c r="AF25" s="460">
        <f t="shared" ref="AF25:AI25" si="52">AE25*$Y$39+AE25</f>
        <v>0</v>
      </c>
      <c r="AG25" s="460">
        <f t="shared" si="52"/>
        <v>0</v>
      </c>
      <c r="AH25" s="460">
        <f t="shared" si="52"/>
        <v>0</v>
      </c>
      <c r="AI25" s="460">
        <f t="shared" si="52"/>
        <v>0</v>
      </c>
      <c r="AK25" s="277">
        <v>20</v>
      </c>
      <c r="AL25" s="640" t="s">
        <v>291</v>
      </c>
      <c r="AM25" s="460">
        <f t="shared" si="16"/>
        <v>0</v>
      </c>
      <c r="AN25" s="460">
        <f t="shared" si="6"/>
        <v>0</v>
      </c>
      <c r="AO25" s="460">
        <f t="shared" si="7"/>
        <v>0</v>
      </c>
      <c r="AP25" s="460">
        <f t="shared" si="30"/>
        <v>0</v>
      </c>
      <c r="AR25" s="277">
        <v>19</v>
      </c>
      <c r="AS25" s="418" t="s">
        <v>292</v>
      </c>
      <c r="AT25" s="460">
        <f t="shared" si="17"/>
        <v>0</v>
      </c>
      <c r="AU25" s="460">
        <f t="shared" ref="AU25:AX25" si="53">AT25*$Y$39+AT25</f>
        <v>0</v>
      </c>
      <c r="AV25" s="460">
        <f t="shared" si="53"/>
        <v>0</v>
      </c>
      <c r="AW25" s="460">
        <f t="shared" si="53"/>
        <v>0</v>
      </c>
      <c r="AX25" s="460">
        <f t="shared" si="53"/>
        <v>0</v>
      </c>
    </row>
    <row r="26" spans="1:50">
      <c r="A26" s="277">
        <v>21</v>
      </c>
      <c r="B26" s="640" t="s">
        <v>293</v>
      </c>
      <c r="C26" s="406">
        <v>0</v>
      </c>
      <c r="D26" s="406">
        <v>0</v>
      </c>
      <c r="E26" s="406">
        <v>0</v>
      </c>
      <c r="F26" s="405">
        <v>81679.7</v>
      </c>
      <c r="G26" s="406">
        <v>178856.69</v>
      </c>
      <c r="H26" s="406" t="s">
        <v>257</v>
      </c>
      <c r="I26" s="459" t="s">
        <v>294</v>
      </c>
      <c r="J26" s="446"/>
      <c r="L26" s="277">
        <v>20</v>
      </c>
      <c r="M26" s="285" t="s">
        <v>293</v>
      </c>
      <c r="N26" s="452">
        <f t="shared" si="0"/>
        <v>0</v>
      </c>
      <c r="O26" s="452">
        <f t="shared" si="1"/>
        <v>0</v>
      </c>
      <c r="P26" s="452">
        <f t="shared" si="2"/>
        <v>0</v>
      </c>
      <c r="Q26" s="452">
        <f t="shared" si="3"/>
        <v>0.816797</v>
      </c>
      <c r="R26" s="452">
        <f t="shared" si="4"/>
        <v>1.7885669</v>
      </c>
      <c r="S26" s="259"/>
      <c r="U26" s="277">
        <v>21</v>
      </c>
      <c r="V26" s="640" t="s">
        <v>293</v>
      </c>
      <c r="W26" s="737">
        <f t="shared" si="10"/>
        <v>0.52107278000000001</v>
      </c>
      <c r="X26" s="460">
        <f t="shared" si="11"/>
        <v>0.54637265455608652</v>
      </c>
      <c r="Y26" s="460">
        <f t="shared" si="12"/>
        <v>0.57157634469818541</v>
      </c>
      <c r="Z26" s="460">
        <f t="shared" si="13"/>
        <v>0.59794265890552967</v>
      </c>
      <c r="AC26" s="277">
        <v>20</v>
      </c>
      <c r="AD26" s="418" t="s">
        <v>293</v>
      </c>
      <c r="AE26" s="460">
        <f t="shared" si="14"/>
        <v>0.62552522800398125</v>
      </c>
      <c r="AF26" s="460">
        <f t="shared" ref="AF26:AI26" si="54">AE26*$Y$39+AE26</f>
        <v>0.6543801567622427</v>
      </c>
      <c r="AG26" s="460">
        <f t="shared" si="54"/>
        <v>0.6845661380126653</v>
      </c>
      <c r="AH26" s="460">
        <f t="shared" si="54"/>
        <v>0.7161445720363494</v>
      </c>
      <c r="AI26" s="460">
        <f t="shared" si="54"/>
        <v>0.74917969145537466</v>
      </c>
      <c r="AK26" s="277">
        <v>21</v>
      </c>
      <c r="AL26" s="640" t="s">
        <v>293</v>
      </c>
      <c r="AM26" s="460">
        <f t="shared" si="16"/>
        <v>0.52107278000000001</v>
      </c>
      <c r="AN26" s="460">
        <f t="shared" si="6"/>
        <v>0.5515833823560865</v>
      </c>
      <c r="AO26" s="460">
        <f t="shared" si="7"/>
        <v>0.58254327261349026</v>
      </c>
      <c r="AP26" s="460">
        <f t="shared" si="30"/>
        <v>0.61524091428874172</v>
      </c>
      <c r="AR26" s="277">
        <v>20</v>
      </c>
      <c r="AS26" s="418" t="s">
        <v>293</v>
      </c>
      <c r="AT26" s="460">
        <f t="shared" si="17"/>
        <v>0.64362143669807337</v>
      </c>
      <c r="AU26" s="460">
        <f t="shared" ref="AU26:AX26" si="55">AT26*$Y$39+AT26</f>
        <v>0.67331112765182433</v>
      </c>
      <c r="AV26" s="460">
        <f t="shared" si="55"/>
        <v>0.70437037794382762</v>
      </c>
      <c r="AW26" s="460">
        <f t="shared" si="55"/>
        <v>0.73686236414213568</v>
      </c>
      <c r="AX26" s="460">
        <f t="shared" si="55"/>
        <v>0.77085317709433543</v>
      </c>
    </row>
    <row r="27" spans="1:50">
      <c r="A27" s="277">
        <v>25</v>
      </c>
      <c r="B27" s="640" t="s">
        <v>295</v>
      </c>
      <c r="C27" s="434">
        <v>724364</v>
      </c>
      <c r="D27" s="434">
        <v>431162</v>
      </c>
      <c r="E27" s="434">
        <v>477139</v>
      </c>
      <c r="F27" s="434">
        <v>240890</v>
      </c>
      <c r="G27" s="434">
        <v>584063</v>
      </c>
      <c r="H27" s="406" t="s">
        <v>257</v>
      </c>
      <c r="I27" s="459" t="s">
        <v>294</v>
      </c>
      <c r="J27" s="446"/>
      <c r="L27" s="277">
        <v>21</v>
      </c>
      <c r="M27" s="285" t="s">
        <v>295</v>
      </c>
      <c r="N27" s="452">
        <f t="shared" si="0"/>
        <v>7.2436400000000001</v>
      </c>
      <c r="O27" s="452">
        <f t="shared" si="1"/>
        <v>4.3116199999999996</v>
      </c>
      <c r="P27" s="452">
        <f t="shared" si="2"/>
        <v>4.7713900000000002</v>
      </c>
      <c r="Q27" s="452">
        <f t="shared" si="3"/>
        <v>2.4089</v>
      </c>
      <c r="R27" s="452">
        <f t="shared" si="4"/>
        <v>5.84063</v>
      </c>
      <c r="S27" s="259"/>
      <c r="U27" s="277">
        <v>25</v>
      </c>
      <c r="V27" s="640" t="s">
        <v>295</v>
      </c>
      <c r="W27" s="737">
        <f t="shared" si="10"/>
        <v>4.9152360000000002</v>
      </c>
      <c r="X27" s="460">
        <f t="shared" si="11"/>
        <v>5.1538876029748488</v>
      </c>
      <c r="Y27" s="460">
        <f t="shared" si="12"/>
        <v>5.3916319064084099</v>
      </c>
      <c r="Z27" s="460">
        <f t="shared" si="13"/>
        <v>5.6403431455164093</v>
      </c>
      <c r="AC27" s="277">
        <v>21</v>
      </c>
      <c r="AD27" s="418" t="s">
        <v>295</v>
      </c>
      <c r="AE27" s="460">
        <f t="shared" si="14"/>
        <v>5.9005272153985411</v>
      </c>
      <c r="AF27" s="460">
        <f t="shared" ref="AF27:AI27" si="56">AE27*$Y$39+AE27</f>
        <v>6.1727133476506273</v>
      </c>
      <c r="AG27" s="460">
        <f t="shared" si="56"/>
        <v>6.457455186856663</v>
      </c>
      <c r="AH27" s="460">
        <f t="shared" si="56"/>
        <v>6.7553319167384975</v>
      </c>
      <c r="AI27" s="460">
        <f t="shared" si="56"/>
        <v>7.0669494382538067</v>
      </c>
      <c r="AK27" s="277">
        <v>25</v>
      </c>
      <c r="AL27" s="640" t="s">
        <v>295</v>
      </c>
      <c r="AM27" s="460">
        <f t="shared" si="16"/>
        <v>4.9152360000000002</v>
      </c>
      <c r="AN27" s="460">
        <f t="shared" si="6"/>
        <v>5.2030399629748487</v>
      </c>
      <c r="AO27" s="460">
        <f t="shared" si="7"/>
        <v>5.4950820211864491</v>
      </c>
      <c r="AP27" s="460">
        <f t="shared" si="30"/>
        <v>5.8035161433397811</v>
      </c>
      <c r="AR27" s="277">
        <v>21</v>
      </c>
      <c r="AS27" s="418" t="s">
        <v>295</v>
      </c>
      <c r="AT27" s="460">
        <f t="shared" si="17"/>
        <v>6.0712272401373415</v>
      </c>
      <c r="AU27" s="460">
        <f t="shared" ref="AU27:AX27" si="57">AT27*$Y$39+AT27</f>
        <v>6.3512876144381272</v>
      </c>
      <c r="AV27" s="460">
        <f t="shared" si="57"/>
        <v>6.6442669275549342</v>
      </c>
      <c r="AW27" s="460">
        <f t="shared" si="57"/>
        <v>6.9507611187760281</v>
      </c>
      <c r="AX27" s="460">
        <f t="shared" si="57"/>
        <v>7.271393617545046</v>
      </c>
    </row>
    <row r="28" spans="1:50">
      <c r="A28" s="277">
        <v>28</v>
      </c>
      <c r="B28" s="640" t="s">
        <v>296</v>
      </c>
      <c r="C28" s="434">
        <v>899317.25997200003</v>
      </c>
      <c r="D28" s="434">
        <v>622229.68314799934</v>
      </c>
      <c r="E28" s="434">
        <v>1455677.4455520003</v>
      </c>
      <c r="F28" s="434">
        <v>5463459.5785960061</v>
      </c>
      <c r="G28" s="434">
        <v>2513323.0764199994</v>
      </c>
      <c r="H28" s="690" t="s">
        <v>265</v>
      </c>
      <c r="I28" s="703" t="s">
        <v>266</v>
      </c>
      <c r="J28" s="447"/>
      <c r="L28" s="277">
        <v>22</v>
      </c>
      <c r="M28" s="285" t="s">
        <v>296</v>
      </c>
      <c r="N28" s="452">
        <f t="shared" si="0"/>
        <v>8.9931725997200012</v>
      </c>
      <c r="O28" s="452">
        <f t="shared" si="1"/>
        <v>6.2222968314799934</v>
      </c>
      <c r="P28" s="452">
        <f t="shared" si="2"/>
        <v>14.556774455520003</v>
      </c>
      <c r="Q28" s="452">
        <f t="shared" si="3"/>
        <v>54.634595785960059</v>
      </c>
      <c r="R28" s="452">
        <f t="shared" si="4"/>
        <v>25.133230764199993</v>
      </c>
      <c r="S28" s="259"/>
      <c r="U28" s="277">
        <v>28</v>
      </c>
      <c r="V28" s="640" t="s">
        <v>296</v>
      </c>
      <c r="W28" s="737">
        <f t="shared" si="10"/>
        <v>21.90801408737601</v>
      </c>
      <c r="X28" s="460">
        <f t="shared" si="11"/>
        <v>22.971723475887131</v>
      </c>
      <c r="Y28" s="460">
        <f t="shared" si="12"/>
        <v>24.031388881335793</v>
      </c>
      <c r="Z28" s="460">
        <f t="shared" si="13"/>
        <v>25.139935720199034</v>
      </c>
      <c r="AC28" s="277">
        <v>22</v>
      </c>
      <c r="AD28" s="418" t="s">
        <v>296</v>
      </c>
      <c r="AE28" s="460">
        <f t="shared" si="14"/>
        <v>26.299618850019975</v>
      </c>
      <c r="AF28" s="460">
        <f t="shared" ref="AF28:AI28" si="58">AE28*$Y$39+AE28</f>
        <v>27.512797142937565</v>
      </c>
      <c r="AG28" s="460">
        <f t="shared" si="58"/>
        <v>28.781938283788417</v>
      </c>
      <c r="AH28" s="460">
        <f t="shared" si="58"/>
        <v>30.109623789540883</v>
      </c>
      <c r="AI28" s="460">
        <f t="shared" si="58"/>
        <v>31.498554260271199</v>
      </c>
      <c r="AK28" s="277">
        <v>28</v>
      </c>
      <c r="AL28" s="640" t="s">
        <v>296</v>
      </c>
      <c r="AM28" s="460">
        <f t="shared" si="16"/>
        <v>21.90801408737601</v>
      </c>
      <c r="AN28" s="460">
        <f t="shared" si="6"/>
        <v>23.190803616760892</v>
      </c>
      <c r="AO28" s="460">
        <f t="shared" si="7"/>
        <v>24.492483032643676</v>
      </c>
      <c r="AP28" s="460">
        <f t="shared" si="30"/>
        <v>25.867224569603987</v>
      </c>
      <c r="AR28" s="277">
        <v>22</v>
      </c>
      <c r="AS28" s="418" t="s">
        <v>296</v>
      </c>
      <c r="AT28" s="460">
        <f t="shared" si="17"/>
        <v>27.060456894560069</v>
      </c>
      <c r="AU28" s="460">
        <f t="shared" ref="AU28:AX28" si="59">AT28*$Y$39+AT28</f>
        <v>28.308731977485369</v>
      </c>
      <c r="AV28" s="460">
        <f t="shared" si="59"/>
        <v>29.614588892407209</v>
      </c>
      <c r="AW28" s="460">
        <f t="shared" si="59"/>
        <v>30.980683838605241</v>
      </c>
      <c r="AX28" s="460">
        <f t="shared" si="59"/>
        <v>32.409795543496365</v>
      </c>
    </row>
    <row r="29" spans="1:50" ht="26.45">
      <c r="A29" s="277">
        <v>29</v>
      </c>
      <c r="B29" s="640" t="s">
        <v>297</v>
      </c>
      <c r="C29" s="434">
        <v>5324186.7267080005</v>
      </c>
      <c r="D29" s="434">
        <v>267026.49316399998</v>
      </c>
      <c r="E29" s="434">
        <v>212365.55398</v>
      </c>
      <c r="F29" s="434">
        <v>122123.869056</v>
      </c>
      <c r="G29" s="434">
        <v>49163.146456000002</v>
      </c>
      <c r="H29" s="683" t="s">
        <v>265</v>
      </c>
      <c r="I29" s="698" t="s">
        <v>298</v>
      </c>
      <c r="J29" s="441"/>
      <c r="L29" s="277">
        <v>23</v>
      </c>
      <c r="M29" s="285" t="s">
        <v>297</v>
      </c>
      <c r="N29" s="452">
        <f t="shared" si="0"/>
        <v>53.241867267080004</v>
      </c>
      <c r="O29" s="452">
        <f t="shared" si="1"/>
        <v>2.6702649316399998</v>
      </c>
      <c r="P29" s="452">
        <f t="shared" si="2"/>
        <v>2.1236555398000001</v>
      </c>
      <c r="Q29" s="452">
        <f t="shared" si="3"/>
        <v>1.2212386905599999</v>
      </c>
      <c r="R29" s="452">
        <f t="shared" si="4"/>
        <v>0.49163146456000001</v>
      </c>
      <c r="S29" s="259"/>
      <c r="U29" s="277">
        <v>29</v>
      </c>
      <c r="V29" s="640" t="s">
        <v>297</v>
      </c>
      <c r="W29" s="737">
        <f t="shared" si="10"/>
        <v>11.949731578728001</v>
      </c>
      <c r="X29" s="460">
        <f t="shared" si="11"/>
        <v>12.529932121770614</v>
      </c>
      <c r="Y29" s="460">
        <f t="shared" si="12"/>
        <v>13.107926873274453</v>
      </c>
      <c r="Z29" s="460">
        <f t="shared" si="13"/>
        <v>13.712584014448026</v>
      </c>
      <c r="AC29" s="277">
        <v>23</v>
      </c>
      <c r="AD29" s="418" t="s">
        <v>297</v>
      </c>
      <c r="AE29" s="460">
        <f t="shared" si="14"/>
        <v>14.345133457883191</v>
      </c>
      <c r="AF29" s="460">
        <f t="shared" ref="AF29:AI29" si="60">AE29*$Y$39+AE29</f>
        <v>15.006861850958231</v>
      </c>
      <c r="AG29" s="460">
        <f t="shared" si="60"/>
        <v>15.699115192963673</v>
      </c>
      <c r="AH29" s="460">
        <f t="shared" si="60"/>
        <v>16.423301572953807</v>
      </c>
      <c r="AI29" s="460">
        <f t="shared" si="60"/>
        <v>17.180894033892905</v>
      </c>
      <c r="AK29" s="277">
        <v>29</v>
      </c>
      <c r="AL29" s="640" t="s">
        <v>297</v>
      </c>
      <c r="AM29" s="460">
        <f t="shared" si="16"/>
        <v>11.949731578728001</v>
      </c>
      <c r="AN29" s="460">
        <f t="shared" si="6"/>
        <v>12.649429437557894</v>
      </c>
      <c r="AO29" s="460">
        <f t="shared" si="7"/>
        <v>13.35943078954341</v>
      </c>
      <c r="AP29" s="460">
        <f t="shared" si="30"/>
        <v>14.109283893128451</v>
      </c>
      <c r="AR29" s="277">
        <v>23</v>
      </c>
      <c r="AS29" s="418" t="s">
        <v>297</v>
      </c>
      <c r="AT29" s="460">
        <f t="shared" si="17"/>
        <v>14.760132753158308</v>
      </c>
      <c r="AU29" s="460">
        <f t="shared" ref="AU29:AX29" si="61">AT29*$Y$39+AT29</f>
        <v>15.441004698825308</v>
      </c>
      <c r="AV29" s="460">
        <f t="shared" si="61"/>
        <v>16.153284668671304</v>
      </c>
      <c r="AW29" s="460">
        <f t="shared" si="61"/>
        <v>16.898421487235336</v>
      </c>
      <c r="AX29" s="460">
        <f t="shared" si="61"/>
        <v>17.677930812058516</v>
      </c>
    </row>
    <row r="30" spans="1:50" ht="52.9">
      <c r="A30" s="277">
        <v>31</v>
      </c>
      <c r="B30" s="640" t="s">
        <v>299</v>
      </c>
      <c r="C30" s="434">
        <v>819196.86940800003</v>
      </c>
      <c r="D30" s="434">
        <v>818349.86940800003</v>
      </c>
      <c r="E30" s="434">
        <v>853109.86940800003</v>
      </c>
      <c r="F30" s="434">
        <v>522249.86940800003</v>
      </c>
      <c r="G30" s="434">
        <v>530561.86940800003</v>
      </c>
      <c r="H30" s="691" t="s">
        <v>300</v>
      </c>
      <c r="I30" s="459" t="s">
        <v>301</v>
      </c>
      <c r="J30" s="446"/>
      <c r="L30" s="277">
        <v>24</v>
      </c>
      <c r="M30" s="285" t="s">
        <v>299</v>
      </c>
      <c r="N30" s="452">
        <f t="shared" si="0"/>
        <v>8.1919686940799998</v>
      </c>
      <c r="O30" s="452">
        <f t="shared" si="1"/>
        <v>8.1834986940800007</v>
      </c>
      <c r="P30" s="452">
        <f t="shared" si="2"/>
        <v>8.5310986940800007</v>
      </c>
      <c r="Q30" s="452">
        <f t="shared" si="3"/>
        <v>5.2224986940800004</v>
      </c>
      <c r="R30" s="452">
        <f t="shared" si="4"/>
        <v>5.3056186940800005</v>
      </c>
      <c r="S30" s="259"/>
      <c r="U30" s="277">
        <v>31</v>
      </c>
      <c r="V30" s="640" t="s">
        <v>299</v>
      </c>
      <c r="W30" s="737">
        <f t="shared" si="10"/>
        <v>7.0869366940800003</v>
      </c>
      <c r="X30" s="460">
        <f t="shared" si="11"/>
        <v>7.431031830554315</v>
      </c>
      <c r="Y30" s="460">
        <f t="shared" si="12"/>
        <v>7.773818794966969</v>
      </c>
      <c r="Z30" s="460">
        <f t="shared" si="13"/>
        <v>8.1324182206434958</v>
      </c>
      <c r="AC30" s="277">
        <v>24</v>
      </c>
      <c r="AD30" s="285" t="s">
        <v>299</v>
      </c>
      <c r="AE30" s="460">
        <f t="shared" si="14"/>
        <v>8.5075595225184735</v>
      </c>
      <c r="AF30" s="460">
        <f t="shared" ref="AF30:AI30" si="62">AE30*$Y$39+AE30</f>
        <v>8.9000057627960558</v>
      </c>
      <c r="AG30" s="460">
        <f t="shared" si="62"/>
        <v>9.3105552030689296</v>
      </c>
      <c r="AH30" s="460">
        <f t="shared" si="62"/>
        <v>9.7400429280351641</v>
      </c>
      <c r="AI30" s="460">
        <f t="shared" si="62"/>
        <v>10.189342544115675</v>
      </c>
      <c r="AK30" s="277">
        <v>31</v>
      </c>
      <c r="AL30" s="640" t="s">
        <v>299</v>
      </c>
      <c r="AM30" s="460">
        <f t="shared" si="16"/>
        <v>7.0869366940800003</v>
      </c>
      <c r="AN30" s="460">
        <f t="shared" si="6"/>
        <v>7.5019011974951146</v>
      </c>
      <c r="AO30" s="460">
        <f t="shared" si="7"/>
        <v>7.9229763154659381</v>
      </c>
      <c r="AP30" s="460">
        <f t="shared" si="30"/>
        <v>8.3676860095670555</v>
      </c>
      <c r="AR30" s="277">
        <v>24</v>
      </c>
      <c r="AS30" s="285" t="s">
        <v>299</v>
      </c>
      <c r="AT30" s="460">
        <f t="shared" si="17"/>
        <v>8.7536800076796659</v>
      </c>
      <c r="AU30" s="460">
        <f t="shared" ref="AU30:AX30" si="63">AT30*$Y$39+AT30</f>
        <v>9.1574795695298032</v>
      </c>
      <c r="AV30" s="460">
        <f t="shared" si="63"/>
        <v>9.5799060501166675</v>
      </c>
      <c r="AW30" s="460">
        <f t="shared" si="63"/>
        <v>10.021818692823373</v>
      </c>
      <c r="AX30" s="460">
        <f t="shared" si="63"/>
        <v>10.484116377174789</v>
      </c>
    </row>
    <row r="31" spans="1:50">
      <c r="A31" s="277">
        <v>32</v>
      </c>
      <c r="B31" s="695" t="s">
        <v>302</v>
      </c>
      <c r="C31" s="692">
        <f t="shared" ref="C31:G31" si="64">SUM(C7:C30)</f>
        <v>25270506.188410003</v>
      </c>
      <c r="D31" s="692">
        <f t="shared" si="64"/>
        <v>8034375.2436800003</v>
      </c>
      <c r="E31" s="692">
        <f t="shared" si="64"/>
        <v>15957384.167117503</v>
      </c>
      <c r="F31" s="692">
        <f t="shared" si="64"/>
        <v>26540470.516619507</v>
      </c>
      <c r="G31" s="692">
        <f t="shared" si="64"/>
        <v>31535025.879930507</v>
      </c>
      <c r="H31" s="692"/>
      <c r="I31" s="704"/>
      <c r="J31" s="448"/>
      <c r="L31" s="277">
        <v>25</v>
      </c>
      <c r="M31" s="286" t="s">
        <v>302</v>
      </c>
      <c r="N31" s="453">
        <f>SUM(N7:N30)</f>
        <v>252.70506188410005</v>
      </c>
      <c r="O31" s="453">
        <f>SUM(O7:O30)</f>
        <v>80.343752436800003</v>
      </c>
      <c r="P31" s="453">
        <f t="shared" ref="P31:R31" si="65">SUM(P7:P30)</f>
        <v>159.57384167117499</v>
      </c>
      <c r="Q31" s="453">
        <f t="shared" si="65"/>
        <v>265.40470516619513</v>
      </c>
      <c r="R31" s="453">
        <f t="shared" si="65"/>
        <v>315.35025879930504</v>
      </c>
      <c r="S31" s="259"/>
      <c r="U31" s="277">
        <v>32</v>
      </c>
      <c r="V31" s="695" t="s">
        <v>302</v>
      </c>
      <c r="W31" s="738">
        <f>SUM(W7:W30)</f>
        <v>214.67552399151501</v>
      </c>
      <c r="X31" s="461">
        <f t="shared" ref="X31:Z31" si="66">SUM(X7:X30)</f>
        <v>225.09875858697299</v>
      </c>
      <c r="Y31" s="461">
        <f t="shared" si="66"/>
        <v>235.48236639656702</v>
      </c>
      <c r="Z31" s="461">
        <f t="shared" si="66"/>
        <v>246.34496090435644</v>
      </c>
      <c r="AC31" s="277">
        <v>25</v>
      </c>
      <c r="AD31" s="286" t="s">
        <v>302</v>
      </c>
      <c r="AE31" s="461">
        <f>SUM(AE7:AE30)</f>
        <v>257.7086373455673</v>
      </c>
      <c r="AF31" s="461">
        <f>SUM(AF7:AF30)</f>
        <v>269.59651018919891</v>
      </c>
      <c r="AG31" s="461">
        <f>SUM(AG7:AG30)</f>
        <v>282.03276015438138</v>
      </c>
      <c r="AH31" s="461">
        <f>SUM(AH7:AH30)</f>
        <v>295.04268339555665</v>
      </c>
      <c r="AI31" s="461">
        <f>SUM(AI7:AI30)</f>
        <v>308.65274295652915</v>
      </c>
      <c r="AK31" s="277">
        <v>32</v>
      </c>
      <c r="AL31" s="695" t="s">
        <v>302</v>
      </c>
      <c r="AM31" s="461">
        <f>SUM(AM7:AM30)</f>
        <v>304.42128991818163</v>
      </c>
      <c r="AN31" s="461">
        <f t="shared" ref="AN31:AP31" si="67">SUM(AN7:AN30)</f>
        <v>322.24620283230587</v>
      </c>
      <c r="AO31" s="461">
        <f t="shared" si="67"/>
        <v>340.33359885380634</v>
      </c>
      <c r="AP31" s="461">
        <f t="shared" si="67"/>
        <v>359.43622451017353</v>
      </c>
      <c r="AR31" s="277">
        <v>25</v>
      </c>
      <c r="AS31" s="286" t="s">
        <v>302</v>
      </c>
      <c r="AT31" s="461">
        <f>SUM(AT7:AT30)</f>
        <v>376.01670150304301</v>
      </c>
      <c r="AU31" s="461">
        <f>AT31+AT31*$Y$36</f>
        <v>394.27360484583596</v>
      </c>
      <c r="AV31" s="461">
        <f>AU31+AU31*$Y$36</f>
        <v>413.41694360050224</v>
      </c>
      <c r="AW31" s="461">
        <f>AV31+AV31*$Y$36</f>
        <v>433.48975725323879</v>
      </c>
      <c r="AX31" s="461">
        <f>AW31+AW31*$Y$36</f>
        <v>454.53717500523754</v>
      </c>
    </row>
    <row r="32" spans="1:50">
      <c r="A32" s="277">
        <v>33</v>
      </c>
      <c r="B32" s="287" t="s">
        <v>171</v>
      </c>
      <c r="C32" s="683">
        <v>0</v>
      </c>
      <c r="D32" s="683">
        <v>0</v>
      </c>
      <c r="E32" s="683">
        <v>0</v>
      </c>
      <c r="F32" s="683">
        <v>0</v>
      </c>
      <c r="G32" s="417">
        <v>0</v>
      </c>
      <c r="H32" s="417"/>
      <c r="I32" s="705"/>
      <c r="J32" s="438"/>
      <c r="L32" s="277">
        <v>26</v>
      </c>
      <c r="M32" s="287" t="s">
        <v>171</v>
      </c>
      <c r="N32" s="454">
        <v>0</v>
      </c>
      <c r="O32" s="454">
        <v>0</v>
      </c>
      <c r="P32" s="454">
        <v>0</v>
      </c>
      <c r="Q32" s="454">
        <v>0</v>
      </c>
      <c r="R32" s="454">
        <v>0</v>
      </c>
      <c r="S32" s="259"/>
      <c r="U32" s="277">
        <v>33</v>
      </c>
      <c r="V32" s="287" t="s">
        <v>171</v>
      </c>
      <c r="W32" s="739">
        <v>0</v>
      </c>
      <c r="X32" s="404">
        <v>0</v>
      </c>
      <c r="Y32" s="404">
        <v>0</v>
      </c>
      <c r="Z32" s="404">
        <v>0</v>
      </c>
      <c r="AC32" s="277">
        <v>26</v>
      </c>
      <c r="AD32" s="287" t="s">
        <v>171</v>
      </c>
      <c r="AE32" s="404">
        <v>0</v>
      </c>
      <c r="AF32" s="404">
        <v>0</v>
      </c>
      <c r="AG32" s="404">
        <v>0</v>
      </c>
      <c r="AH32" s="404">
        <v>0</v>
      </c>
      <c r="AI32" s="404">
        <v>0</v>
      </c>
      <c r="AK32" s="277">
        <v>33</v>
      </c>
      <c r="AL32" s="287" t="s">
        <v>171</v>
      </c>
      <c r="AM32" s="404">
        <v>0</v>
      </c>
      <c r="AN32" s="404">
        <v>0</v>
      </c>
      <c r="AO32" s="404">
        <v>0</v>
      </c>
      <c r="AP32" s="404">
        <v>0</v>
      </c>
      <c r="AR32" s="277">
        <v>26</v>
      </c>
      <c r="AS32" s="287" t="s">
        <v>171</v>
      </c>
      <c r="AT32" s="404">
        <v>0</v>
      </c>
      <c r="AU32" s="404">
        <v>0</v>
      </c>
      <c r="AV32" s="404">
        <v>0</v>
      </c>
      <c r="AW32" s="404">
        <v>0</v>
      </c>
      <c r="AX32" s="404">
        <v>0</v>
      </c>
    </row>
    <row r="33" spans="1:50">
      <c r="A33" s="277">
        <v>34</v>
      </c>
      <c r="B33" s="282" t="s">
        <v>303</v>
      </c>
      <c r="C33" s="693">
        <f>C31-C32</f>
        <v>25270506.188410003</v>
      </c>
      <c r="D33" s="693">
        <f t="shared" ref="D33:G33" si="68">D31-D32</f>
        <v>8034375.2436800003</v>
      </c>
      <c r="E33" s="693">
        <f t="shared" si="68"/>
        <v>15957384.167117503</v>
      </c>
      <c r="F33" s="693">
        <f t="shared" si="68"/>
        <v>26540470.516619507</v>
      </c>
      <c r="G33" s="693">
        <f t="shared" si="68"/>
        <v>31535025.879930507</v>
      </c>
      <c r="H33" s="693"/>
      <c r="I33" s="706"/>
      <c r="J33" s="436"/>
      <c r="L33" s="277">
        <v>27</v>
      </c>
      <c r="M33" s="282" t="s">
        <v>303</v>
      </c>
      <c r="N33" s="455">
        <f>N31-N32</f>
        <v>252.70506188410005</v>
      </c>
      <c r="O33" s="455">
        <f t="shared" ref="O33:R33" si="69">O31-O32</f>
        <v>80.343752436800003</v>
      </c>
      <c r="P33" s="455">
        <f t="shared" si="69"/>
        <v>159.57384167117499</v>
      </c>
      <c r="Q33" s="455">
        <f t="shared" si="69"/>
        <v>265.40470516619513</v>
      </c>
      <c r="R33" s="455">
        <f t="shared" si="69"/>
        <v>315.35025879930504</v>
      </c>
      <c r="S33" s="259"/>
      <c r="U33" s="277">
        <v>34</v>
      </c>
      <c r="V33" s="282" t="s">
        <v>303</v>
      </c>
      <c r="W33" s="738">
        <f>W31-W32</f>
        <v>214.67552399151501</v>
      </c>
      <c r="X33" s="461">
        <f t="shared" ref="X33:Z33" si="70">X31-X32</f>
        <v>225.09875858697299</v>
      </c>
      <c r="Y33" s="461">
        <f t="shared" si="70"/>
        <v>235.48236639656702</v>
      </c>
      <c r="Z33" s="461">
        <f t="shared" si="70"/>
        <v>246.34496090435644</v>
      </c>
      <c r="AC33" s="277">
        <v>27</v>
      </c>
      <c r="AD33" s="282" t="s">
        <v>303</v>
      </c>
      <c r="AE33" s="461">
        <f>AE31-AE32</f>
        <v>257.7086373455673</v>
      </c>
      <c r="AF33" s="461">
        <f>AF31-AF32</f>
        <v>269.59651018919891</v>
      </c>
      <c r="AG33" s="461">
        <f>AG31-AG32</f>
        <v>282.03276015438138</v>
      </c>
      <c r="AH33" s="461">
        <f>AH31-AH32</f>
        <v>295.04268339555665</v>
      </c>
      <c r="AI33" s="461">
        <f>AI31-AI32</f>
        <v>308.65274295652915</v>
      </c>
      <c r="AK33" s="277">
        <v>34</v>
      </c>
      <c r="AL33" s="282" t="s">
        <v>303</v>
      </c>
      <c r="AM33" s="461">
        <f>AM31-AM32</f>
        <v>304.42128991818163</v>
      </c>
      <c r="AN33" s="461">
        <f t="shared" ref="AN33:AP33" si="71">AN31-AN32</f>
        <v>322.24620283230587</v>
      </c>
      <c r="AO33" s="461">
        <f t="shared" si="71"/>
        <v>340.33359885380634</v>
      </c>
      <c r="AP33" s="461">
        <f t="shared" si="71"/>
        <v>359.43622451017353</v>
      </c>
      <c r="AR33" s="277">
        <v>27</v>
      </c>
      <c r="AS33" s="282" t="s">
        <v>303</v>
      </c>
      <c r="AT33" s="461">
        <f>AT31-AT32</f>
        <v>376.01670150304301</v>
      </c>
      <c r="AU33" s="461">
        <f t="shared" ref="AU33:AX33" si="72">AU31-AU32</f>
        <v>394.27360484583596</v>
      </c>
      <c r="AV33" s="461">
        <f t="shared" si="72"/>
        <v>413.41694360050224</v>
      </c>
      <c r="AW33" s="461">
        <f t="shared" si="72"/>
        <v>433.48975725323879</v>
      </c>
      <c r="AX33" s="461">
        <f t="shared" si="72"/>
        <v>454.53717500523754</v>
      </c>
    </row>
    <row r="34" spans="1:50">
      <c r="J34" s="449"/>
    </row>
    <row r="35" spans="1:50" ht="13.9">
      <c r="N35" s="382"/>
      <c r="O35" s="382"/>
      <c r="P35" s="382"/>
      <c r="Q35" s="382"/>
      <c r="R35" s="382"/>
      <c r="X35" s="432" t="s">
        <v>122</v>
      </c>
      <c r="AM35" s="432" t="s">
        <v>123</v>
      </c>
    </row>
    <row r="36" spans="1:50">
      <c r="A36"/>
      <c r="B36"/>
      <c r="C36"/>
      <c r="N36" s="382"/>
      <c r="O36" s="382"/>
      <c r="P36" s="382"/>
      <c r="Q36" s="382"/>
      <c r="R36" s="382"/>
      <c r="X36" s="466" t="s">
        <v>124</v>
      </c>
      <c r="Y36" s="467">
        <v>4.8553437306946882E-2</v>
      </c>
      <c r="AM36" s="466" t="s">
        <v>124</v>
      </c>
      <c r="AN36" s="467">
        <v>5.8553437306946884E-2</v>
      </c>
    </row>
    <row r="37" spans="1:50">
      <c r="A37"/>
      <c r="B37"/>
      <c r="C37"/>
      <c r="N37" s="382"/>
      <c r="O37" s="382"/>
      <c r="P37" s="382"/>
      <c r="Q37" s="382"/>
      <c r="R37" s="382"/>
      <c r="X37" s="466" t="s">
        <v>125</v>
      </c>
      <c r="Y37" s="467">
        <v>4.6129120723613429E-2</v>
      </c>
      <c r="AM37" s="466" t="s">
        <v>125</v>
      </c>
      <c r="AN37" s="467">
        <v>5.6129120723613431E-2</v>
      </c>
    </row>
    <row r="38" spans="1:50">
      <c r="A38"/>
      <c r="B38"/>
      <c r="C38"/>
      <c r="N38" s="382"/>
      <c r="O38" s="382"/>
      <c r="P38" s="382"/>
      <c r="Q38" s="382"/>
      <c r="R38" s="382"/>
      <c r="X38" s="466" t="s">
        <v>126</v>
      </c>
      <c r="Y38" s="467">
        <v>4.6129120723613429E-2</v>
      </c>
      <c r="AM38" s="466" t="s">
        <v>126</v>
      </c>
      <c r="AN38" s="467">
        <v>5.6129120723613431E-2</v>
      </c>
    </row>
    <row r="39" spans="1:50">
      <c r="A39"/>
      <c r="B39"/>
      <c r="C39"/>
      <c r="N39" s="382"/>
      <c r="O39" s="382"/>
      <c r="P39" s="382"/>
      <c r="Q39" s="382"/>
      <c r="R39" s="382"/>
      <c r="X39" s="466" t="s">
        <v>127</v>
      </c>
      <c r="Y39" s="467">
        <v>4.6129120723613429E-2</v>
      </c>
      <c r="AM39" s="466" t="s">
        <v>127</v>
      </c>
      <c r="AN39" s="467">
        <v>4.6129120723613429E-2</v>
      </c>
    </row>
    <row r="40" spans="1:50">
      <c r="A40"/>
      <c r="B40"/>
      <c r="C40"/>
      <c r="N40" s="382"/>
      <c r="O40" s="382"/>
      <c r="P40" s="382"/>
      <c r="Q40" s="382"/>
      <c r="R40" s="382"/>
    </row>
    <row r="41" spans="1:50">
      <c r="A41"/>
      <c r="B41"/>
      <c r="C41"/>
      <c r="N41" s="382"/>
      <c r="O41" s="382"/>
      <c r="P41" s="382"/>
      <c r="Q41" s="382"/>
      <c r="R41" s="382"/>
      <c r="T41"/>
      <c r="U41"/>
      <c r="V41"/>
      <c r="W41"/>
      <c r="X41"/>
      <c r="Y41"/>
      <c r="Z41"/>
      <c r="AA41"/>
      <c r="AB41"/>
      <c r="AC41"/>
      <c r="AD41"/>
      <c r="AE41"/>
    </row>
    <row r="42" spans="1:50">
      <c r="A42"/>
      <c r="B42"/>
      <c r="C42"/>
      <c r="N42" s="382"/>
      <c r="O42" s="382"/>
      <c r="P42" s="382"/>
      <c r="Q42" s="382"/>
      <c r="R42" s="382"/>
      <c r="T42"/>
      <c r="U42"/>
      <c r="V42"/>
      <c r="W42"/>
      <c r="X42"/>
      <c r="Y42"/>
      <c r="Z42"/>
      <c r="AA42"/>
      <c r="AB42"/>
      <c r="AC42"/>
      <c r="AD42"/>
      <c r="AE42"/>
    </row>
    <row r="43" spans="1:50">
      <c r="A43"/>
      <c r="B43"/>
      <c r="C43"/>
      <c r="N43" s="382"/>
      <c r="O43" s="382"/>
      <c r="P43" s="382"/>
      <c r="Q43" s="382"/>
      <c r="R43" s="382"/>
      <c r="T43"/>
      <c r="U43"/>
      <c r="V43"/>
      <c r="W43"/>
      <c r="X43"/>
      <c r="Y43"/>
      <c r="Z43"/>
      <c r="AA43"/>
      <c r="AB43"/>
      <c r="AC43"/>
      <c r="AD43"/>
      <c r="AE43"/>
    </row>
    <row r="44" spans="1:50">
      <c r="A44"/>
      <c r="B44"/>
      <c r="C44"/>
      <c r="N44" s="382"/>
      <c r="O44" s="382"/>
      <c r="P44" s="382"/>
      <c r="Q44" s="382"/>
      <c r="R44" s="382"/>
      <c r="T44"/>
      <c r="U44"/>
      <c r="V44"/>
      <c r="W44"/>
      <c r="X44"/>
      <c r="Y44"/>
      <c r="Z44"/>
      <c r="AA44"/>
      <c r="AB44"/>
      <c r="AC44"/>
      <c r="AD44"/>
      <c r="AE44"/>
    </row>
    <row r="45" spans="1:50">
      <c r="A45"/>
      <c r="B45"/>
      <c r="C45"/>
      <c r="N45" s="382"/>
      <c r="O45" s="382"/>
      <c r="P45" s="382"/>
      <c r="Q45" s="382"/>
      <c r="R45" s="382"/>
      <c r="T45"/>
      <c r="U45"/>
      <c r="V45"/>
      <c r="W45"/>
      <c r="X45"/>
      <c r="Y45"/>
      <c r="Z45"/>
      <c r="AA45"/>
      <c r="AB45"/>
      <c r="AC45"/>
      <c r="AD45"/>
      <c r="AE45"/>
    </row>
    <row r="46" spans="1:50">
      <c r="A46"/>
      <c r="B46"/>
      <c r="C46"/>
      <c r="N46" s="382"/>
      <c r="O46" s="382"/>
      <c r="P46" s="382"/>
      <c r="Q46" s="382"/>
      <c r="R46" s="382"/>
      <c r="T46"/>
      <c r="U46"/>
      <c r="V46"/>
      <c r="W46"/>
      <c r="X46"/>
      <c r="Y46"/>
      <c r="Z46"/>
      <c r="AA46"/>
      <c r="AB46"/>
      <c r="AC46"/>
      <c r="AD46"/>
      <c r="AE46"/>
    </row>
    <row r="47" spans="1:50">
      <c r="A47"/>
      <c r="B47"/>
      <c r="C47"/>
      <c r="N47" s="382"/>
      <c r="O47" s="382"/>
      <c r="P47" s="382"/>
      <c r="Q47" s="382"/>
      <c r="R47" s="382"/>
      <c r="T47"/>
      <c r="U47"/>
      <c r="V47"/>
      <c r="W47"/>
      <c r="X47"/>
      <c r="Y47"/>
      <c r="Z47"/>
      <c r="AA47"/>
      <c r="AB47"/>
      <c r="AC47"/>
      <c r="AD47"/>
      <c r="AE47"/>
    </row>
    <row r="48" spans="1:50">
      <c r="A48"/>
      <c r="B48"/>
      <c r="C48"/>
      <c r="N48" s="382"/>
      <c r="O48" s="382"/>
      <c r="P48" s="382"/>
      <c r="Q48" s="382"/>
      <c r="R48" s="382"/>
      <c r="T48"/>
      <c r="U48"/>
      <c r="V48"/>
      <c r="W48"/>
      <c r="X48"/>
      <c r="Y48"/>
      <c r="Z48"/>
      <c r="AA48"/>
      <c r="AB48"/>
      <c r="AC48"/>
      <c r="AD48"/>
      <c r="AE48"/>
    </row>
    <row r="49" spans="1:31">
      <c r="A49"/>
      <c r="B49"/>
      <c r="C49"/>
      <c r="N49" s="382"/>
      <c r="O49" s="382"/>
      <c r="P49" s="382"/>
      <c r="Q49" s="382"/>
      <c r="R49" s="382"/>
      <c r="T49"/>
      <c r="U49"/>
      <c r="V49"/>
      <c r="W49"/>
      <c r="X49"/>
      <c r="Y49"/>
      <c r="Z49"/>
      <c r="AA49"/>
      <c r="AB49"/>
      <c r="AC49"/>
      <c r="AD49"/>
      <c r="AE49"/>
    </row>
    <row r="50" spans="1:31">
      <c r="A50"/>
      <c r="B50"/>
      <c r="C50"/>
      <c r="N50" s="382"/>
      <c r="O50" s="382"/>
      <c r="P50" s="382"/>
      <c r="Q50" s="382"/>
      <c r="R50" s="382"/>
      <c r="T50"/>
      <c r="U50"/>
      <c r="V50"/>
      <c r="W50"/>
      <c r="X50"/>
      <c r="Y50"/>
      <c r="Z50"/>
      <c r="AA50"/>
      <c r="AB50"/>
      <c r="AC50"/>
      <c r="AD50"/>
      <c r="AE50"/>
    </row>
    <row r="51" spans="1:31">
      <c r="A51"/>
      <c r="B51"/>
      <c r="C51"/>
      <c r="N51" s="382"/>
      <c r="O51" s="382"/>
      <c r="P51" s="382"/>
      <c r="Q51" s="382"/>
      <c r="R51" s="382"/>
      <c r="T51"/>
      <c r="U51"/>
      <c r="V51"/>
      <c r="W51"/>
      <c r="X51"/>
      <c r="Y51"/>
      <c r="Z51"/>
      <c r="AA51"/>
      <c r="AB51"/>
      <c r="AC51"/>
      <c r="AD51"/>
      <c r="AE51"/>
    </row>
    <row r="52" spans="1:31">
      <c r="A52"/>
      <c r="B52"/>
      <c r="C52"/>
      <c r="N52" s="382"/>
      <c r="O52" s="382"/>
      <c r="P52" s="382"/>
      <c r="Q52" s="382"/>
      <c r="R52" s="382"/>
      <c r="T52"/>
      <c r="U52"/>
      <c r="V52"/>
      <c r="W52"/>
      <c r="X52"/>
      <c r="Y52"/>
      <c r="Z52"/>
      <c r="AA52"/>
      <c r="AB52"/>
      <c r="AC52"/>
      <c r="AD52"/>
      <c r="AE52"/>
    </row>
    <row r="53" spans="1:31">
      <c r="A53"/>
      <c r="B53"/>
      <c r="C53"/>
      <c r="N53" s="382"/>
      <c r="O53" s="382"/>
      <c r="P53" s="382"/>
      <c r="Q53" s="382"/>
      <c r="R53" s="382"/>
      <c r="T53"/>
      <c r="U53"/>
      <c r="V53"/>
      <c r="W53"/>
      <c r="X53"/>
      <c r="Y53"/>
      <c r="Z53"/>
      <c r="AA53"/>
      <c r="AB53"/>
      <c r="AC53"/>
      <c r="AD53"/>
      <c r="AE53"/>
    </row>
    <row r="54" spans="1:31">
      <c r="A54"/>
      <c r="B54"/>
      <c r="C54"/>
      <c r="N54" s="382"/>
      <c r="O54" s="382"/>
      <c r="P54" s="382"/>
      <c r="Q54" s="382"/>
      <c r="R54" s="382"/>
      <c r="T54"/>
      <c r="U54"/>
      <c r="V54"/>
      <c r="W54"/>
      <c r="X54"/>
      <c r="Y54"/>
      <c r="Z54"/>
      <c r="AA54"/>
      <c r="AB54"/>
      <c r="AC54"/>
      <c r="AD54"/>
      <c r="AE54"/>
    </row>
    <row r="55" spans="1:31">
      <c r="A55"/>
      <c r="B55"/>
      <c r="C55"/>
      <c r="N55" s="382"/>
      <c r="O55" s="382"/>
      <c r="P55" s="382"/>
      <c r="Q55" s="382"/>
      <c r="R55" s="382"/>
      <c r="T55"/>
      <c r="U55"/>
      <c r="V55"/>
      <c r="W55"/>
      <c r="X55"/>
      <c r="Y55"/>
      <c r="Z55"/>
      <c r="AA55"/>
      <c r="AB55"/>
      <c r="AC55"/>
      <c r="AD55"/>
      <c r="AE55"/>
    </row>
    <row r="56" spans="1:31">
      <c r="A56"/>
      <c r="B56"/>
      <c r="C56"/>
      <c r="N56" s="382"/>
      <c r="O56" s="382"/>
      <c r="P56" s="382"/>
      <c r="Q56" s="382"/>
      <c r="R56" s="382"/>
      <c r="T56"/>
      <c r="U56"/>
      <c r="V56"/>
      <c r="W56"/>
      <c r="X56"/>
      <c r="Y56"/>
      <c r="Z56"/>
      <c r="AA56"/>
      <c r="AB56"/>
      <c r="AC56"/>
      <c r="AD56"/>
      <c r="AE56"/>
    </row>
    <row r="57" spans="1:31">
      <c r="A57"/>
      <c r="B57"/>
      <c r="C57"/>
      <c r="N57" s="382"/>
      <c r="O57" s="382"/>
      <c r="P57" s="382"/>
      <c r="Q57" s="382"/>
      <c r="R57" s="382"/>
      <c r="T57"/>
      <c r="U57"/>
      <c r="V57"/>
      <c r="W57"/>
      <c r="X57"/>
      <c r="Y57"/>
      <c r="Z57"/>
      <c r="AA57"/>
      <c r="AB57"/>
      <c r="AC57"/>
      <c r="AD57"/>
      <c r="AE57"/>
    </row>
    <row r="58" spans="1:31">
      <c r="A58"/>
      <c r="B58"/>
      <c r="C58"/>
      <c r="N58" s="382"/>
      <c r="O58" s="382"/>
      <c r="P58" s="382"/>
      <c r="Q58" s="382"/>
      <c r="R58" s="382"/>
      <c r="T58"/>
      <c r="U58"/>
      <c r="V58"/>
      <c r="W58"/>
      <c r="X58"/>
      <c r="Y58"/>
      <c r="Z58"/>
      <c r="AA58"/>
      <c r="AB58"/>
      <c r="AC58"/>
      <c r="AD58"/>
      <c r="AE58"/>
    </row>
    <row r="59" spans="1:31">
      <c r="A59"/>
      <c r="B59"/>
      <c r="C59"/>
      <c r="N59" s="382"/>
      <c r="O59" s="382"/>
      <c r="P59" s="382"/>
      <c r="Q59" s="382"/>
      <c r="R59" s="382"/>
      <c r="T59"/>
      <c r="U59"/>
      <c r="V59"/>
      <c r="W59"/>
      <c r="X59"/>
      <c r="Y59"/>
      <c r="Z59"/>
      <c r="AA59"/>
      <c r="AB59"/>
      <c r="AC59"/>
      <c r="AD59"/>
      <c r="AE59"/>
    </row>
    <row r="60" spans="1:31">
      <c r="A60"/>
      <c r="B60"/>
      <c r="C60"/>
      <c r="N60" s="382"/>
      <c r="O60" s="382"/>
      <c r="P60" s="382"/>
      <c r="Q60" s="382"/>
      <c r="R60" s="382"/>
      <c r="T60"/>
      <c r="U60"/>
      <c r="V60"/>
      <c r="W60"/>
      <c r="X60"/>
      <c r="Y60"/>
      <c r="Z60"/>
      <c r="AA60"/>
      <c r="AB60"/>
      <c r="AC60"/>
      <c r="AD60"/>
      <c r="AE60"/>
    </row>
    <row r="61" spans="1:31">
      <c r="A61"/>
      <c r="B61"/>
      <c r="C61"/>
      <c r="N61" s="382"/>
      <c r="O61" s="382"/>
      <c r="P61" s="382"/>
      <c r="Q61" s="382"/>
      <c r="R61" s="382"/>
      <c r="T61"/>
      <c r="U61"/>
      <c r="V61"/>
      <c r="W61"/>
      <c r="X61"/>
      <c r="Y61"/>
      <c r="Z61"/>
      <c r="AA61"/>
      <c r="AB61"/>
      <c r="AC61"/>
      <c r="AD61"/>
      <c r="AE61"/>
    </row>
    <row r="62" spans="1:31">
      <c r="A62"/>
      <c r="B62"/>
      <c r="C62"/>
      <c r="N62" s="382"/>
      <c r="O62" s="382"/>
      <c r="P62" s="382"/>
      <c r="Q62" s="382"/>
      <c r="R62" s="382"/>
      <c r="T62"/>
      <c r="U62"/>
      <c r="V62"/>
      <c r="W62"/>
      <c r="X62"/>
      <c r="Y62"/>
      <c r="Z62"/>
      <c r="AA62"/>
      <c r="AB62"/>
      <c r="AC62"/>
      <c r="AD62"/>
      <c r="AE62"/>
    </row>
    <row r="63" spans="1:31">
      <c r="A63"/>
      <c r="B63"/>
      <c r="C63"/>
      <c r="T63"/>
      <c r="U63"/>
      <c r="V63"/>
      <c r="W63"/>
      <c r="X63"/>
      <c r="Y63"/>
      <c r="Z63"/>
      <c r="AA63"/>
      <c r="AB63"/>
      <c r="AC63"/>
      <c r="AD63"/>
      <c r="AE63"/>
    </row>
    <row r="64" spans="1:31">
      <c r="A64"/>
      <c r="B64"/>
      <c r="C64"/>
      <c r="T64"/>
      <c r="U64"/>
      <c r="V64"/>
      <c r="W64"/>
      <c r="X64"/>
      <c r="Y64"/>
      <c r="Z64"/>
      <c r="AA64"/>
      <c r="AB64"/>
      <c r="AC64"/>
      <c r="AD64"/>
      <c r="AE64"/>
    </row>
    <row r="65" spans="1:31">
      <c r="A65"/>
      <c r="B65"/>
      <c r="C65"/>
      <c r="T65"/>
      <c r="U65"/>
      <c r="V65"/>
      <c r="W65"/>
      <c r="X65"/>
      <c r="Y65"/>
      <c r="Z65"/>
      <c r="AA65"/>
      <c r="AB65"/>
      <c r="AC65"/>
      <c r="AD65"/>
      <c r="AE65"/>
    </row>
    <row r="66" spans="1:31">
      <c r="T66"/>
      <c r="U66"/>
      <c r="V66"/>
      <c r="W66"/>
      <c r="X66"/>
      <c r="Y66"/>
      <c r="Z66"/>
      <c r="AA66"/>
      <c r="AB66"/>
      <c r="AC66"/>
      <c r="AD66"/>
      <c r="AE66"/>
    </row>
    <row r="67" spans="1:31">
      <c r="T67"/>
      <c r="U67"/>
      <c r="V67"/>
      <c r="W67"/>
      <c r="X67"/>
      <c r="Y67"/>
      <c r="Z67"/>
      <c r="AA67"/>
      <c r="AB67"/>
      <c r="AC67"/>
      <c r="AD67"/>
      <c r="AE67"/>
    </row>
    <row r="68" spans="1:31">
      <c r="T68"/>
      <c r="U68"/>
      <c r="V68"/>
      <c r="W68"/>
      <c r="X68"/>
      <c r="Y68"/>
      <c r="Z68"/>
      <c r="AA68"/>
      <c r="AB68"/>
      <c r="AC68"/>
      <c r="AD68"/>
      <c r="AE68"/>
    </row>
    <row r="69" spans="1:31">
      <c r="T69"/>
      <c r="U69"/>
      <c r="V69"/>
      <c r="W69"/>
      <c r="X69"/>
      <c r="Y69"/>
      <c r="Z69"/>
      <c r="AA69"/>
      <c r="AB69"/>
      <c r="AC69"/>
      <c r="AD69"/>
      <c r="AE69"/>
    </row>
    <row r="70" spans="1:31">
      <c r="T70"/>
      <c r="U70"/>
      <c r="V70"/>
      <c r="W70"/>
      <c r="X70"/>
      <c r="Y70"/>
      <c r="Z70"/>
      <c r="AA70"/>
      <c r="AB70"/>
      <c r="AC70"/>
      <c r="AD70"/>
      <c r="AE70"/>
    </row>
    <row r="71" spans="1:31">
      <c r="T71"/>
      <c r="U71"/>
      <c r="V71"/>
      <c r="W71"/>
      <c r="X71"/>
      <c r="Y71"/>
      <c r="Z71"/>
      <c r="AA71"/>
      <c r="AB71"/>
      <c r="AC71"/>
      <c r="AD71"/>
      <c r="AE71"/>
    </row>
    <row r="72" spans="1:31">
      <c r="T72"/>
      <c r="U72"/>
      <c r="V72"/>
      <c r="W72"/>
      <c r="X72"/>
      <c r="Y72"/>
      <c r="Z72"/>
      <c r="AA72"/>
      <c r="AB72"/>
      <c r="AC72"/>
      <c r="AD72"/>
      <c r="AE72"/>
    </row>
    <row r="73" spans="1:31">
      <c r="T73"/>
      <c r="U73"/>
      <c r="V73"/>
      <c r="W73"/>
      <c r="X73"/>
      <c r="Y73"/>
      <c r="Z73"/>
      <c r="AA73"/>
      <c r="AB73"/>
      <c r="AC73"/>
      <c r="AD73"/>
      <c r="AE73"/>
    </row>
    <row r="74" spans="1:31">
      <c r="T74"/>
      <c r="U74"/>
      <c r="V74"/>
      <c r="W74"/>
      <c r="X74"/>
      <c r="Y74"/>
      <c r="Z74"/>
      <c r="AA74"/>
      <c r="AB74"/>
      <c r="AC74"/>
      <c r="AD74"/>
      <c r="AE74"/>
    </row>
    <row r="75" spans="1:31">
      <c r="T75"/>
      <c r="U75"/>
      <c r="V75"/>
      <c r="W75"/>
      <c r="X75"/>
      <c r="Y75"/>
      <c r="Z75"/>
      <c r="AA75"/>
      <c r="AB75"/>
      <c r="AC75"/>
      <c r="AD75"/>
      <c r="AE75"/>
    </row>
  </sheetData>
  <mergeCells count="6">
    <mergeCell ref="W5:W6"/>
    <mergeCell ref="AM5:AM6"/>
    <mergeCell ref="U5:U6"/>
    <mergeCell ref="V5:V6"/>
    <mergeCell ref="AK5:AK6"/>
    <mergeCell ref="AL5:AL6"/>
  </mergeCells>
  <phoneticPr fontId="24" type="noConversion"/>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Q33"/>
  <sheetViews>
    <sheetView view="pageBreakPreview" topLeftCell="R1" zoomScale="60" zoomScaleNormal="24" workbookViewId="0">
      <selection activeCell="AM13" sqref="AM13:AQ18"/>
    </sheetView>
  </sheetViews>
  <sheetFormatPr defaultColWidth="8.7109375" defaultRowHeight="13.15"/>
  <cols>
    <col min="1" max="1" width="8.7109375" style="252"/>
    <col min="2" max="2" width="22.85546875" style="252" bestFit="1" customWidth="1"/>
    <col min="3" max="7" width="23.5703125" style="252" bestFit="1" customWidth="1"/>
    <col min="8" max="9" width="8.7109375" style="252"/>
    <col min="10" max="10" width="22.85546875" style="252" bestFit="1" customWidth="1"/>
    <col min="11" max="15" width="23.5703125" style="252" bestFit="1" customWidth="1"/>
    <col min="16" max="18" width="8.7109375" style="252"/>
    <col min="19" max="19" width="21.140625" style="252" customWidth="1"/>
    <col min="20" max="23" width="18.7109375" style="252" customWidth="1"/>
    <col min="24" max="24" width="8.85546875" style="252" bestFit="1" customWidth="1"/>
    <col min="25" max="25" width="38.7109375" style="252" bestFit="1" customWidth="1"/>
    <col min="26" max="30" width="11.28515625" style="252" bestFit="1" customWidth="1"/>
    <col min="31" max="36" width="19.140625" style="252" customWidth="1"/>
    <col min="37" max="37" width="8.85546875" style="252" bestFit="1" customWidth="1"/>
    <col min="38" max="38" width="38.7109375" style="252" bestFit="1" customWidth="1"/>
    <col min="39" max="43" width="11.28515625" style="252" bestFit="1" customWidth="1"/>
    <col min="44" max="16384" width="8.7109375" style="252"/>
  </cols>
  <sheetData>
    <row r="2" spans="1:43">
      <c r="D2" s="274" t="s">
        <v>0</v>
      </c>
    </row>
    <row r="3" spans="1:43">
      <c r="D3" s="275" t="s">
        <v>1</v>
      </c>
    </row>
    <row r="4" spans="1:43">
      <c r="D4" s="274" t="s">
        <v>304</v>
      </c>
    </row>
    <row r="5" spans="1:43">
      <c r="S5" s="415" t="s">
        <v>305</v>
      </c>
      <c r="X5" s="415" t="s">
        <v>133</v>
      </c>
      <c r="AD5" s="276" t="s">
        <v>52</v>
      </c>
      <c r="AF5" s="415" t="s">
        <v>306</v>
      </c>
      <c r="AK5" s="415" t="s">
        <v>307</v>
      </c>
      <c r="AQ5" s="276" t="s">
        <v>52</v>
      </c>
    </row>
    <row r="6" spans="1:43">
      <c r="A6" s="415" t="s">
        <v>129</v>
      </c>
      <c r="G6" s="276" t="s">
        <v>130</v>
      </c>
      <c r="I6" s="415" t="s">
        <v>131</v>
      </c>
      <c r="O6" s="276" t="s">
        <v>52</v>
      </c>
      <c r="Q6" s="783" t="s">
        <v>2</v>
      </c>
      <c r="R6" s="785" t="s">
        <v>53</v>
      </c>
      <c r="S6" s="770" t="s">
        <v>94</v>
      </c>
      <c r="T6" s="416" t="s">
        <v>95</v>
      </c>
      <c r="U6" s="416" t="s">
        <v>95</v>
      </c>
      <c r="V6" s="416" t="s">
        <v>95</v>
      </c>
      <c r="X6" s="787" t="s">
        <v>2</v>
      </c>
      <c r="Y6" s="772" t="s">
        <v>53</v>
      </c>
      <c r="Z6" s="772" t="s">
        <v>56</v>
      </c>
      <c r="AA6" s="772" t="s">
        <v>57</v>
      </c>
      <c r="AB6" s="772" t="s">
        <v>58</v>
      </c>
      <c r="AC6" s="772" t="s">
        <v>59</v>
      </c>
      <c r="AD6" s="772" t="s">
        <v>60</v>
      </c>
      <c r="AF6" s="770" t="s">
        <v>94</v>
      </c>
      <c r="AG6" s="416" t="s">
        <v>137</v>
      </c>
      <c r="AH6" s="416" t="s">
        <v>137</v>
      </c>
      <c r="AI6" s="416" t="s">
        <v>137</v>
      </c>
      <c r="AK6" s="770" t="s">
        <v>2</v>
      </c>
      <c r="AL6" s="772" t="s">
        <v>53</v>
      </c>
      <c r="AM6" s="768" t="s">
        <v>56</v>
      </c>
      <c r="AN6" s="768" t="s">
        <v>57</v>
      </c>
      <c r="AO6" s="768" t="s">
        <v>58</v>
      </c>
      <c r="AP6" s="768" t="s">
        <v>59</v>
      </c>
      <c r="AQ6" s="768" t="s">
        <v>60</v>
      </c>
    </row>
    <row r="7" spans="1:43">
      <c r="A7" s="450" t="s">
        <v>2</v>
      </c>
      <c r="B7" s="435" t="s">
        <v>53</v>
      </c>
      <c r="C7" s="474" t="s">
        <v>96</v>
      </c>
      <c r="D7" s="474" t="s">
        <v>97</v>
      </c>
      <c r="E7" s="474" t="s">
        <v>98</v>
      </c>
      <c r="F7" s="474" t="s">
        <v>99</v>
      </c>
      <c r="G7" s="474" t="s">
        <v>100</v>
      </c>
      <c r="I7" s="450" t="s">
        <v>2</v>
      </c>
      <c r="J7" s="435" t="s">
        <v>53</v>
      </c>
      <c r="K7" s="474" t="s">
        <v>96</v>
      </c>
      <c r="L7" s="474" t="s">
        <v>97</v>
      </c>
      <c r="M7" s="474" t="s">
        <v>98</v>
      </c>
      <c r="N7" s="474" t="s">
        <v>99</v>
      </c>
      <c r="O7" s="474" t="s">
        <v>100</v>
      </c>
      <c r="Q7" s="784"/>
      <c r="R7" s="786"/>
      <c r="S7" s="773"/>
      <c r="T7" s="416" t="s">
        <v>99</v>
      </c>
      <c r="U7" s="416" t="s">
        <v>100</v>
      </c>
      <c r="V7" s="416" t="s">
        <v>101</v>
      </c>
      <c r="X7" s="787"/>
      <c r="Y7" s="772"/>
      <c r="Z7" s="772"/>
      <c r="AA7" s="772"/>
      <c r="AB7" s="772"/>
      <c r="AC7" s="772"/>
      <c r="AD7" s="772"/>
      <c r="AF7" s="773"/>
      <c r="AG7" s="416" t="s">
        <v>99</v>
      </c>
      <c r="AH7" s="416" t="s">
        <v>100</v>
      </c>
      <c r="AI7" s="416" t="s">
        <v>101</v>
      </c>
      <c r="AK7" s="771"/>
      <c r="AL7" s="772"/>
      <c r="AM7" s="769"/>
      <c r="AN7" s="769"/>
      <c r="AO7" s="769"/>
      <c r="AP7" s="769"/>
      <c r="AQ7" s="769"/>
    </row>
    <row r="8" spans="1:43">
      <c r="A8" s="277">
        <v>1</v>
      </c>
      <c r="B8" s="475" t="s">
        <v>308</v>
      </c>
      <c r="C8" s="404">
        <v>0</v>
      </c>
      <c r="D8" s="404">
        <v>0</v>
      </c>
      <c r="E8" s="404">
        <v>0</v>
      </c>
      <c r="F8" s="404">
        <v>0</v>
      </c>
      <c r="G8" s="404">
        <v>0</v>
      </c>
      <c r="I8" s="277">
        <v>1</v>
      </c>
      <c r="J8" s="475" t="s">
        <v>308</v>
      </c>
      <c r="K8" s="393">
        <f>C8/10^5</f>
        <v>0</v>
      </c>
      <c r="L8" s="393">
        <f t="shared" ref="L8:L15" si="0">D8/10^5</f>
        <v>0</v>
      </c>
      <c r="M8" s="393">
        <f t="shared" ref="M8:M15" si="1">E8/10^5</f>
        <v>0</v>
      </c>
      <c r="N8" s="393">
        <f t="shared" ref="N8:N15" si="2">F8/10^5</f>
        <v>0</v>
      </c>
      <c r="O8" s="393">
        <f t="shared" ref="O8:O15" si="3">G8/10^5</f>
        <v>0</v>
      </c>
      <c r="Q8" s="277">
        <v>1</v>
      </c>
      <c r="R8" s="475" t="s">
        <v>308</v>
      </c>
      <c r="S8" s="433">
        <f t="shared" ref="S8:S15" si="4">AVERAGE(K8:O8)</f>
        <v>0</v>
      </c>
      <c r="T8" s="433">
        <f t="shared" ref="T8:T15" si="5">S8*$U$22+S8</f>
        <v>0</v>
      </c>
      <c r="U8" s="433">
        <f t="shared" ref="U8:U15" si="6">T8*$U$23+T8</f>
        <v>0</v>
      </c>
      <c r="V8" s="433">
        <f t="shared" ref="V8:V15" si="7">U8*$U$24+U8</f>
        <v>0</v>
      </c>
      <c r="X8" s="277">
        <v>1</v>
      </c>
      <c r="Y8" s="475" t="s">
        <v>308</v>
      </c>
      <c r="Z8" s="433">
        <f t="shared" ref="Z8:Z15" si="8">V8*$U$25+V8</f>
        <v>0</v>
      </c>
      <c r="AA8" s="433">
        <f t="shared" ref="AA8:AD15" si="9">Z8*$U$25+Z8</f>
        <v>0</v>
      </c>
      <c r="AB8" s="433">
        <f t="shared" si="9"/>
        <v>0</v>
      </c>
      <c r="AC8" s="433">
        <f t="shared" si="9"/>
        <v>0</v>
      </c>
      <c r="AD8" s="433">
        <f t="shared" si="9"/>
        <v>0</v>
      </c>
      <c r="AF8" s="433">
        <f t="shared" ref="AF8:AF15" si="10">AVERAGE(K8:O8)</f>
        <v>0</v>
      </c>
      <c r="AG8" s="433">
        <f t="shared" ref="AG8:AG15" si="11">AF8*$AG$22+AF8</f>
        <v>0</v>
      </c>
      <c r="AH8" s="433">
        <f t="shared" ref="AH8:AH15" si="12">AG8*$AG$23+AG8</f>
        <v>0</v>
      </c>
      <c r="AI8" s="433">
        <f t="shared" ref="AI8:AI15" si="13">AH8*$AG$24+AH8</f>
        <v>0</v>
      </c>
      <c r="AK8" s="277">
        <v>1</v>
      </c>
      <c r="AL8" s="475" t="s">
        <v>308</v>
      </c>
      <c r="AM8" s="433">
        <f t="shared" ref="AM8:AM15" si="14">AI8*$AG$25+AI8</f>
        <v>0</v>
      </c>
      <c r="AN8" s="433">
        <f t="shared" ref="AN8:AQ15" si="15">AM8*$AG$25+AM8</f>
        <v>0</v>
      </c>
      <c r="AO8" s="433">
        <f t="shared" si="15"/>
        <v>0</v>
      </c>
      <c r="AP8" s="433">
        <f t="shared" si="15"/>
        <v>0</v>
      </c>
      <c r="AQ8" s="433">
        <f t="shared" si="15"/>
        <v>0</v>
      </c>
    </row>
    <row r="9" spans="1:43">
      <c r="A9" s="277">
        <v>2</v>
      </c>
      <c r="B9" s="475" t="s">
        <v>309</v>
      </c>
      <c r="C9" s="404">
        <v>0</v>
      </c>
      <c r="D9" s="404">
        <v>0</v>
      </c>
      <c r="E9" s="404">
        <v>0</v>
      </c>
      <c r="F9" s="404">
        <v>0</v>
      </c>
      <c r="G9" s="404">
        <v>0</v>
      </c>
      <c r="I9" s="277">
        <v>2</v>
      </c>
      <c r="J9" s="475" t="s">
        <v>309</v>
      </c>
      <c r="K9" s="393">
        <f t="shared" ref="K9:K15" si="16">C9/10^5</f>
        <v>0</v>
      </c>
      <c r="L9" s="393">
        <f t="shared" si="0"/>
        <v>0</v>
      </c>
      <c r="M9" s="393">
        <f t="shared" si="1"/>
        <v>0</v>
      </c>
      <c r="N9" s="393">
        <f t="shared" si="2"/>
        <v>0</v>
      </c>
      <c r="O9" s="393">
        <f t="shared" si="3"/>
        <v>0</v>
      </c>
      <c r="Q9" s="277">
        <v>2</v>
      </c>
      <c r="R9" s="475" t="s">
        <v>309</v>
      </c>
      <c r="S9" s="433">
        <f t="shared" si="4"/>
        <v>0</v>
      </c>
      <c r="T9" s="433">
        <f t="shared" si="5"/>
        <v>0</v>
      </c>
      <c r="U9" s="433">
        <f t="shared" si="6"/>
        <v>0</v>
      </c>
      <c r="V9" s="433">
        <f t="shared" si="7"/>
        <v>0</v>
      </c>
      <c r="X9" s="277">
        <v>2</v>
      </c>
      <c r="Y9" s="475" t="s">
        <v>309</v>
      </c>
      <c r="Z9" s="433">
        <f t="shared" si="8"/>
        <v>0</v>
      </c>
      <c r="AA9" s="433">
        <f t="shared" si="9"/>
        <v>0</v>
      </c>
      <c r="AB9" s="433">
        <f t="shared" si="9"/>
        <v>0</v>
      </c>
      <c r="AC9" s="433">
        <f t="shared" si="9"/>
        <v>0</v>
      </c>
      <c r="AD9" s="433">
        <f t="shared" si="9"/>
        <v>0</v>
      </c>
      <c r="AF9" s="433">
        <f t="shared" si="10"/>
        <v>0</v>
      </c>
      <c r="AG9" s="433">
        <f t="shared" si="11"/>
        <v>0</v>
      </c>
      <c r="AH9" s="433">
        <f t="shared" si="12"/>
        <v>0</v>
      </c>
      <c r="AI9" s="433">
        <f t="shared" si="13"/>
        <v>0</v>
      </c>
      <c r="AK9" s="277">
        <v>2</v>
      </c>
      <c r="AL9" s="475" t="s">
        <v>309</v>
      </c>
      <c r="AM9" s="433">
        <f t="shared" si="14"/>
        <v>0</v>
      </c>
      <c r="AN9" s="433">
        <f t="shared" si="15"/>
        <v>0</v>
      </c>
      <c r="AO9" s="433">
        <f t="shared" si="15"/>
        <v>0</v>
      </c>
      <c r="AP9" s="433">
        <f t="shared" si="15"/>
        <v>0</v>
      </c>
      <c r="AQ9" s="433">
        <f t="shared" si="15"/>
        <v>0</v>
      </c>
    </row>
    <row r="10" spans="1:43">
      <c r="A10" s="277">
        <v>3</v>
      </c>
      <c r="B10" s="475" t="s">
        <v>310</v>
      </c>
      <c r="C10" s="404">
        <v>0</v>
      </c>
      <c r="D10" s="404">
        <v>0</v>
      </c>
      <c r="E10" s="404">
        <v>0</v>
      </c>
      <c r="F10" s="404">
        <v>0</v>
      </c>
      <c r="G10" s="404">
        <v>0</v>
      </c>
      <c r="I10" s="277">
        <v>3</v>
      </c>
      <c r="J10" s="475" t="s">
        <v>310</v>
      </c>
      <c r="K10" s="393">
        <f t="shared" si="16"/>
        <v>0</v>
      </c>
      <c r="L10" s="393">
        <f t="shared" si="0"/>
        <v>0</v>
      </c>
      <c r="M10" s="393">
        <f t="shared" si="1"/>
        <v>0</v>
      </c>
      <c r="N10" s="393">
        <f t="shared" si="2"/>
        <v>0</v>
      </c>
      <c r="O10" s="393">
        <f t="shared" si="3"/>
        <v>0</v>
      </c>
      <c r="Q10" s="277">
        <v>3</v>
      </c>
      <c r="R10" s="475" t="s">
        <v>310</v>
      </c>
      <c r="S10" s="433">
        <f t="shared" si="4"/>
        <v>0</v>
      </c>
      <c r="T10" s="433">
        <f t="shared" si="5"/>
        <v>0</v>
      </c>
      <c r="U10" s="433">
        <f t="shared" si="6"/>
        <v>0</v>
      </c>
      <c r="V10" s="433">
        <f t="shared" si="7"/>
        <v>0</v>
      </c>
      <c r="X10" s="277">
        <v>3</v>
      </c>
      <c r="Y10" s="475" t="s">
        <v>310</v>
      </c>
      <c r="Z10" s="433">
        <f t="shared" si="8"/>
        <v>0</v>
      </c>
      <c r="AA10" s="433">
        <f t="shared" si="9"/>
        <v>0</v>
      </c>
      <c r="AB10" s="433">
        <f t="shared" si="9"/>
        <v>0</v>
      </c>
      <c r="AC10" s="433">
        <f t="shared" si="9"/>
        <v>0</v>
      </c>
      <c r="AD10" s="433">
        <f t="shared" si="9"/>
        <v>0</v>
      </c>
      <c r="AF10" s="433">
        <f t="shared" si="10"/>
        <v>0</v>
      </c>
      <c r="AG10" s="433">
        <f t="shared" si="11"/>
        <v>0</v>
      </c>
      <c r="AH10" s="433">
        <f t="shared" si="12"/>
        <v>0</v>
      </c>
      <c r="AI10" s="433">
        <f t="shared" si="13"/>
        <v>0</v>
      </c>
      <c r="AK10" s="277">
        <v>3</v>
      </c>
      <c r="AL10" s="475" t="s">
        <v>310</v>
      </c>
      <c r="AM10" s="433">
        <f t="shared" si="14"/>
        <v>0</v>
      </c>
      <c r="AN10" s="433">
        <f t="shared" si="15"/>
        <v>0</v>
      </c>
      <c r="AO10" s="433">
        <f t="shared" si="15"/>
        <v>0</v>
      </c>
      <c r="AP10" s="433">
        <f t="shared" si="15"/>
        <v>0</v>
      </c>
      <c r="AQ10" s="433">
        <f t="shared" si="15"/>
        <v>0</v>
      </c>
    </row>
    <row r="11" spans="1:43">
      <c r="A11" s="277">
        <v>4</v>
      </c>
      <c r="B11" s="475" t="s">
        <v>311</v>
      </c>
      <c r="C11" s="404">
        <v>0</v>
      </c>
      <c r="D11" s="404">
        <v>0</v>
      </c>
      <c r="E11" s="404">
        <v>0</v>
      </c>
      <c r="F11" s="404">
        <v>0</v>
      </c>
      <c r="G11" s="404">
        <v>0</v>
      </c>
      <c r="I11" s="277">
        <v>4</v>
      </c>
      <c r="J11" s="475" t="s">
        <v>311</v>
      </c>
      <c r="K11" s="393">
        <f t="shared" si="16"/>
        <v>0</v>
      </c>
      <c r="L11" s="393">
        <f t="shared" si="0"/>
        <v>0</v>
      </c>
      <c r="M11" s="393">
        <f t="shared" si="1"/>
        <v>0</v>
      </c>
      <c r="N11" s="393">
        <f t="shared" si="2"/>
        <v>0</v>
      </c>
      <c r="O11" s="393">
        <f t="shared" si="3"/>
        <v>0</v>
      </c>
      <c r="Q11" s="277">
        <v>4</v>
      </c>
      <c r="R11" s="475" t="s">
        <v>311</v>
      </c>
      <c r="S11" s="433">
        <f t="shared" si="4"/>
        <v>0</v>
      </c>
      <c r="T11" s="433">
        <f t="shared" si="5"/>
        <v>0</v>
      </c>
      <c r="U11" s="433">
        <f t="shared" si="6"/>
        <v>0</v>
      </c>
      <c r="V11" s="433">
        <f t="shared" si="7"/>
        <v>0</v>
      </c>
      <c r="X11" s="277">
        <v>4</v>
      </c>
      <c r="Y11" s="475" t="s">
        <v>311</v>
      </c>
      <c r="Z11" s="433">
        <f t="shared" si="8"/>
        <v>0</v>
      </c>
      <c r="AA11" s="433">
        <f t="shared" si="9"/>
        <v>0</v>
      </c>
      <c r="AB11" s="433">
        <f t="shared" si="9"/>
        <v>0</v>
      </c>
      <c r="AC11" s="433">
        <f t="shared" si="9"/>
        <v>0</v>
      </c>
      <c r="AD11" s="433">
        <f t="shared" si="9"/>
        <v>0</v>
      </c>
      <c r="AF11" s="433">
        <f t="shared" si="10"/>
        <v>0</v>
      </c>
      <c r="AG11" s="433">
        <f t="shared" si="11"/>
        <v>0</v>
      </c>
      <c r="AH11" s="433">
        <f t="shared" si="12"/>
        <v>0</v>
      </c>
      <c r="AI11" s="433">
        <f t="shared" si="13"/>
        <v>0</v>
      </c>
      <c r="AK11" s="277">
        <v>4</v>
      </c>
      <c r="AL11" s="475" t="s">
        <v>311</v>
      </c>
      <c r="AM11" s="433">
        <f t="shared" si="14"/>
        <v>0</v>
      </c>
      <c r="AN11" s="433">
        <f t="shared" si="15"/>
        <v>0</v>
      </c>
      <c r="AO11" s="433">
        <f t="shared" si="15"/>
        <v>0</v>
      </c>
      <c r="AP11" s="433">
        <f t="shared" si="15"/>
        <v>0</v>
      </c>
      <c r="AQ11" s="433">
        <f t="shared" si="15"/>
        <v>0</v>
      </c>
    </row>
    <row r="12" spans="1:43">
      <c r="A12" s="277">
        <v>5</v>
      </c>
      <c r="B12" s="475" t="s">
        <v>312</v>
      </c>
      <c r="C12" s="404">
        <v>0</v>
      </c>
      <c r="D12" s="404">
        <v>0</v>
      </c>
      <c r="E12" s="404">
        <v>0</v>
      </c>
      <c r="F12" s="404">
        <v>0</v>
      </c>
      <c r="G12" s="404">
        <v>0</v>
      </c>
      <c r="I12" s="277">
        <v>5</v>
      </c>
      <c r="J12" s="475" t="s">
        <v>312</v>
      </c>
      <c r="K12" s="393">
        <f t="shared" si="16"/>
        <v>0</v>
      </c>
      <c r="L12" s="393">
        <f t="shared" si="0"/>
        <v>0</v>
      </c>
      <c r="M12" s="393">
        <f t="shared" si="1"/>
        <v>0</v>
      </c>
      <c r="N12" s="393">
        <f t="shared" si="2"/>
        <v>0</v>
      </c>
      <c r="O12" s="393">
        <f t="shared" si="3"/>
        <v>0</v>
      </c>
      <c r="Q12" s="277">
        <v>5</v>
      </c>
      <c r="R12" s="475" t="s">
        <v>312</v>
      </c>
      <c r="S12" s="433">
        <f t="shared" si="4"/>
        <v>0</v>
      </c>
      <c r="T12" s="433">
        <f t="shared" si="5"/>
        <v>0</v>
      </c>
      <c r="U12" s="433">
        <f t="shared" si="6"/>
        <v>0</v>
      </c>
      <c r="V12" s="433">
        <f t="shared" si="7"/>
        <v>0</v>
      </c>
      <c r="X12" s="277">
        <v>5</v>
      </c>
      <c r="Y12" s="475" t="s">
        <v>312</v>
      </c>
      <c r="Z12" s="433">
        <f t="shared" si="8"/>
        <v>0</v>
      </c>
      <c r="AA12" s="433">
        <f t="shared" si="9"/>
        <v>0</v>
      </c>
      <c r="AB12" s="433">
        <f t="shared" si="9"/>
        <v>0</v>
      </c>
      <c r="AC12" s="433">
        <f t="shared" si="9"/>
        <v>0</v>
      </c>
      <c r="AD12" s="433">
        <f t="shared" si="9"/>
        <v>0</v>
      </c>
      <c r="AF12" s="433">
        <f t="shared" si="10"/>
        <v>0</v>
      </c>
      <c r="AG12" s="433">
        <f t="shared" si="11"/>
        <v>0</v>
      </c>
      <c r="AH12" s="433">
        <f t="shared" si="12"/>
        <v>0</v>
      </c>
      <c r="AI12" s="433">
        <f t="shared" si="13"/>
        <v>0</v>
      </c>
      <c r="AK12" s="277">
        <v>5</v>
      </c>
      <c r="AL12" s="475" t="s">
        <v>312</v>
      </c>
      <c r="AM12" s="433">
        <f t="shared" si="14"/>
        <v>0</v>
      </c>
      <c r="AN12" s="433">
        <f t="shared" si="15"/>
        <v>0</v>
      </c>
      <c r="AO12" s="433">
        <f t="shared" si="15"/>
        <v>0</v>
      </c>
      <c r="AP12" s="433">
        <f t="shared" si="15"/>
        <v>0</v>
      </c>
      <c r="AQ12" s="433">
        <f t="shared" si="15"/>
        <v>0</v>
      </c>
    </row>
    <row r="13" spans="1:43">
      <c r="A13" s="277">
        <v>6</v>
      </c>
      <c r="B13" s="476" t="s">
        <v>313</v>
      </c>
      <c r="C13" s="405">
        <v>0</v>
      </c>
      <c r="D13" s="405">
        <v>0</v>
      </c>
      <c r="E13" s="405">
        <v>0</v>
      </c>
      <c r="F13" s="405">
        <v>0</v>
      </c>
      <c r="G13" s="405">
        <v>67154</v>
      </c>
      <c r="I13" s="277">
        <v>6</v>
      </c>
      <c r="J13" s="476" t="s">
        <v>313</v>
      </c>
      <c r="K13" s="393">
        <f t="shared" si="16"/>
        <v>0</v>
      </c>
      <c r="L13" s="393">
        <f t="shared" si="0"/>
        <v>0</v>
      </c>
      <c r="M13" s="393">
        <f t="shared" si="1"/>
        <v>0</v>
      </c>
      <c r="N13" s="393">
        <f t="shared" si="2"/>
        <v>0</v>
      </c>
      <c r="O13" s="393">
        <f t="shared" si="3"/>
        <v>0.67154000000000003</v>
      </c>
      <c r="Q13" s="277">
        <v>6</v>
      </c>
      <c r="R13" s="476" t="s">
        <v>313</v>
      </c>
      <c r="S13" s="433">
        <f t="shared" si="4"/>
        <v>0.13430800000000001</v>
      </c>
      <c r="T13" s="433">
        <f t="shared" si="5"/>
        <v>0.14082911505782142</v>
      </c>
      <c r="U13" s="433">
        <f t="shared" si="6"/>
        <v>0.14732543830772332</v>
      </c>
      <c r="V13" s="433">
        <f t="shared" si="7"/>
        <v>0.15412143123707955</v>
      </c>
      <c r="X13" s="277">
        <v>6</v>
      </c>
      <c r="Y13" s="476" t="s">
        <v>313</v>
      </c>
      <c r="Z13" s="433">
        <f t="shared" si="8"/>
        <v>0.16123091734471087</v>
      </c>
      <c r="AA13" s="433">
        <f t="shared" si="9"/>
        <v>0.16866835779528397</v>
      </c>
      <c r="AB13" s="433">
        <f t="shared" si="9"/>
        <v>0.17644888083427623</v>
      </c>
      <c r="AC13" s="433">
        <f t="shared" si="9"/>
        <v>0.18458831255982705</v>
      </c>
      <c r="AD13" s="433">
        <f t="shared" si="9"/>
        <v>0.19310320911406739</v>
      </c>
      <c r="AF13" s="433">
        <f t="shared" si="10"/>
        <v>0.13430800000000001</v>
      </c>
      <c r="AG13" s="433">
        <f t="shared" si="11"/>
        <v>0.14217219505782144</v>
      </c>
      <c r="AH13" s="433">
        <f t="shared" si="12"/>
        <v>0.15015219535776303</v>
      </c>
      <c r="AI13" s="433">
        <f t="shared" si="13"/>
        <v>0.1585801060579145</v>
      </c>
      <c r="AK13" s="277">
        <v>6</v>
      </c>
      <c r="AL13" s="476" t="s">
        <v>313</v>
      </c>
      <c r="AM13" s="433">
        <f t="shared" si="14"/>
        <v>0.16589526691462347</v>
      </c>
      <c r="AN13" s="433">
        <f t="shared" si="15"/>
        <v>0.1735478697096042</v>
      </c>
      <c r="AO13" s="433">
        <f t="shared" si="15"/>
        <v>0.18155348034276447</v>
      </c>
      <c r="AP13" s="433">
        <f t="shared" si="15"/>
        <v>0.18992838275528803</v>
      </c>
      <c r="AQ13" s="433">
        <f t="shared" si="15"/>
        <v>0.19868961205224739</v>
      </c>
    </row>
    <row r="14" spans="1:43">
      <c r="A14" s="277">
        <v>7</v>
      </c>
      <c r="B14" s="475" t="s">
        <v>314</v>
      </c>
      <c r="C14" s="404">
        <v>0</v>
      </c>
      <c r="D14" s="404">
        <v>0</v>
      </c>
      <c r="E14" s="404">
        <v>0</v>
      </c>
      <c r="F14" s="404">
        <v>0</v>
      </c>
      <c r="G14" s="404">
        <v>0</v>
      </c>
      <c r="I14" s="277">
        <v>7</v>
      </c>
      <c r="J14" s="475" t="s">
        <v>314</v>
      </c>
      <c r="K14" s="393">
        <f t="shared" si="16"/>
        <v>0</v>
      </c>
      <c r="L14" s="393">
        <f t="shared" si="0"/>
        <v>0</v>
      </c>
      <c r="M14" s="393">
        <f t="shared" si="1"/>
        <v>0</v>
      </c>
      <c r="N14" s="393">
        <f t="shared" si="2"/>
        <v>0</v>
      </c>
      <c r="O14" s="393">
        <f t="shared" si="3"/>
        <v>0</v>
      </c>
      <c r="Q14" s="277">
        <v>7</v>
      </c>
      <c r="R14" s="475" t="s">
        <v>314</v>
      </c>
      <c r="S14" s="433">
        <f t="shared" si="4"/>
        <v>0</v>
      </c>
      <c r="T14" s="433">
        <f t="shared" si="5"/>
        <v>0</v>
      </c>
      <c r="U14" s="433">
        <f t="shared" si="6"/>
        <v>0</v>
      </c>
      <c r="V14" s="433">
        <f t="shared" si="7"/>
        <v>0</v>
      </c>
      <c r="X14" s="277">
        <v>7</v>
      </c>
      <c r="Y14" s="475" t="s">
        <v>314</v>
      </c>
      <c r="Z14" s="433">
        <f t="shared" si="8"/>
        <v>0</v>
      </c>
      <c r="AA14" s="433">
        <f t="shared" si="9"/>
        <v>0</v>
      </c>
      <c r="AB14" s="433">
        <f t="shared" si="9"/>
        <v>0</v>
      </c>
      <c r="AC14" s="433">
        <f t="shared" si="9"/>
        <v>0</v>
      </c>
      <c r="AD14" s="433">
        <f t="shared" si="9"/>
        <v>0</v>
      </c>
      <c r="AF14" s="433">
        <f t="shared" si="10"/>
        <v>0</v>
      </c>
      <c r="AG14" s="433">
        <f t="shared" si="11"/>
        <v>0</v>
      </c>
      <c r="AH14" s="433">
        <f t="shared" si="12"/>
        <v>0</v>
      </c>
      <c r="AI14" s="433">
        <f t="shared" si="13"/>
        <v>0</v>
      </c>
      <c r="AK14" s="277">
        <v>7</v>
      </c>
      <c r="AL14" s="475" t="s">
        <v>314</v>
      </c>
      <c r="AM14" s="433">
        <f t="shared" si="14"/>
        <v>0</v>
      </c>
      <c r="AN14" s="433">
        <f t="shared" si="15"/>
        <v>0</v>
      </c>
      <c r="AO14" s="433">
        <f t="shared" si="15"/>
        <v>0</v>
      </c>
      <c r="AP14" s="433">
        <f t="shared" si="15"/>
        <v>0</v>
      </c>
      <c r="AQ14" s="433">
        <f t="shared" si="15"/>
        <v>0</v>
      </c>
    </row>
    <row r="15" spans="1:43">
      <c r="A15" s="277">
        <v>8</v>
      </c>
      <c r="B15" s="475" t="s">
        <v>315</v>
      </c>
      <c r="C15" s="434">
        <v>743290</v>
      </c>
      <c r="D15" s="434">
        <v>999773.50580000004</v>
      </c>
      <c r="E15" s="434">
        <v>981122.58</v>
      </c>
      <c r="F15" s="434">
        <v>748542.5</v>
      </c>
      <c r="G15" s="417">
        <v>1980082.56</v>
      </c>
      <c r="I15" s="277">
        <v>8</v>
      </c>
      <c r="J15" s="475" t="s">
        <v>315</v>
      </c>
      <c r="K15" s="393">
        <f t="shared" si="16"/>
        <v>7.4329000000000001</v>
      </c>
      <c r="L15" s="393">
        <f t="shared" si="0"/>
        <v>9.997735058</v>
      </c>
      <c r="M15" s="393">
        <f t="shared" si="1"/>
        <v>9.811225799999999</v>
      </c>
      <c r="N15" s="393">
        <f t="shared" si="2"/>
        <v>7.4854250000000002</v>
      </c>
      <c r="O15" s="393">
        <f t="shared" si="3"/>
        <v>19.8008256</v>
      </c>
      <c r="Q15" s="277">
        <v>8</v>
      </c>
      <c r="R15" s="475" t="s">
        <v>315</v>
      </c>
      <c r="S15" s="433">
        <f t="shared" si="4"/>
        <v>10.9056222916</v>
      </c>
      <c r="T15" s="433">
        <f t="shared" si="5"/>
        <v>11.435127739828443</v>
      </c>
      <c r="U15" s="433">
        <f t="shared" si="6"/>
        <v>11.962620127828931</v>
      </c>
      <c r="V15" s="433">
        <f t="shared" si="7"/>
        <v>12.51444527587628</v>
      </c>
      <c r="X15" s="277">
        <v>8</v>
      </c>
      <c r="Y15" s="475" t="s">
        <v>315</v>
      </c>
      <c r="Z15" s="433">
        <f t="shared" si="8"/>
        <v>13.091725632796232</v>
      </c>
      <c r="AA15" s="433">
        <f t="shared" si="9"/>
        <v>13.695635424991913</v>
      </c>
      <c r="AB15" s="433">
        <f t="shared" si="9"/>
        <v>14.327403044897961</v>
      </c>
      <c r="AC15" s="433">
        <f t="shared" si="9"/>
        <v>14.988313549611926</v>
      </c>
      <c r="AD15" s="433">
        <f t="shared" si="9"/>
        <v>15.679711274785346</v>
      </c>
      <c r="AF15" s="433">
        <f t="shared" si="10"/>
        <v>10.9056222916</v>
      </c>
      <c r="AG15" s="433">
        <f t="shared" si="11"/>
        <v>11.544183962744443</v>
      </c>
      <c r="AH15" s="433">
        <f t="shared" si="12"/>
        <v>12.192148858044927</v>
      </c>
      <c r="AI15" s="433">
        <f t="shared" si="13"/>
        <v>12.876483453178396</v>
      </c>
      <c r="AK15" s="277">
        <v>8</v>
      </c>
      <c r="AL15" s="475" t="s">
        <v>315</v>
      </c>
      <c r="AM15" s="433">
        <f t="shared" si="14"/>
        <v>13.470464312885673</v>
      </c>
      <c r="AN15" s="433">
        <f t="shared" si="15"/>
        <v>14.091844987377902</v>
      </c>
      <c r="AO15" s="433">
        <f t="shared" si="15"/>
        <v>14.741889406019105</v>
      </c>
      <c r="AP15" s="433">
        <f t="shared" si="15"/>
        <v>15.421919802123519</v>
      </c>
      <c r="AQ15" s="433">
        <f t="shared" si="15"/>
        <v>16.13331940246556</v>
      </c>
    </row>
    <row r="16" spans="1:43">
      <c r="A16" s="277">
        <v>9</v>
      </c>
      <c r="B16" s="477" t="s">
        <v>316</v>
      </c>
      <c r="C16" s="478">
        <f>SUM(C8:C15)</f>
        <v>743290</v>
      </c>
      <c r="D16" s="478">
        <f t="shared" ref="D16" si="17">SUM(D8:D15)</f>
        <v>999773.50580000004</v>
      </c>
      <c r="E16" s="478">
        <f t="shared" ref="E16" si="18">SUM(E8:E15)</f>
        <v>981122.58</v>
      </c>
      <c r="F16" s="478">
        <f t="shared" ref="F16" si="19">SUM(F8:F15)</f>
        <v>748542.5</v>
      </c>
      <c r="G16" s="478">
        <f t="shared" ref="G16" si="20">SUM(G8:G15)</f>
        <v>2047236.56</v>
      </c>
      <c r="I16" s="277">
        <v>9</v>
      </c>
      <c r="J16" s="477" t="s">
        <v>316</v>
      </c>
      <c r="K16" s="392">
        <f>SUM(K8:K15)</f>
        <v>7.4329000000000001</v>
      </c>
      <c r="L16" s="392">
        <f t="shared" ref="L16:O16" si="21">SUM(L8:L15)</f>
        <v>9.997735058</v>
      </c>
      <c r="M16" s="392">
        <f t="shared" si="21"/>
        <v>9.811225799999999</v>
      </c>
      <c r="N16" s="392">
        <f t="shared" si="21"/>
        <v>7.4854250000000002</v>
      </c>
      <c r="O16" s="392">
        <f t="shared" si="21"/>
        <v>20.4723656</v>
      </c>
      <c r="Q16" s="277">
        <v>9</v>
      </c>
      <c r="R16" s="477" t="s">
        <v>316</v>
      </c>
      <c r="S16" s="392">
        <f>SUM(S8:S15)</f>
        <v>11.039930291600001</v>
      </c>
      <c r="T16" s="392">
        <f>SUM(T8:T15)</f>
        <v>11.575956854886265</v>
      </c>
      <c r="U16" s="392">
        <f>SUM(U8:U15)</f>
        <v>12.109945566136654</v>
      </c>
      <c r="V16" s="392">
        <f>SUM(V8:V15)</f>
        <v>12.66856670711336</v>
      </c>
      <c r="X16" s="277">
        <v>9</v>
      </c>
      <c r="Y16" s="477" t="s">
        <v>316</v>
      </c>
      <c r="Z16" s="392">
        <f>SUM(Z8:Z15)</f>
        <v>13.252956550140942</v>
      </c>
      <c r="AA16" s="392">
        <f>SUM(AA8:AA15)</f>
        <v>13.864303782787196</v>
      </c>
      <c r="AB16" s="392">
        <f>SUM(AB8:AB15)</f>
        <v>14.503851925732237</v>
      </c>
      <c r="AC16" s="392">
        <f>SUM(AC8:AC15)</f>
        <v>15.172901862171752</v>
      </c>
      <c r="AD16" s="392">
        <f>SUM(AD8:AD15)</f>
        <v>15.872814483899413</v>
      </c>
      <c r="AF16" s="392">
        <f>SUM(AF8:AF15)</f>
        <v>11.039930291600001</v>
      </c>
      <c r="AG16" s="392">
        <f>SUM(AG8:AG15)</f>
        <v>11.686356157802264</v>
      </c>
      <c r="AH16" s="392">
        <f>SUM(AH8:AH15)</f>
        <v>12.342301053402689</v>
      </c>
      <c r="AI16" s="392">
        <f>SUM(AI8:AI15)</f>
        <v>13.035063559236312</v>
      </c>
      <c r="AK16" s="277">
        <v>9</v>
      </c>
      <c r="AL16" s="477" t="s">
        <v>316</v>
      </c>
      <c r="AM16" s="392">
        <f>SUM(AM8:AM15)</f>
        <v>13.636359579800295</v>
      </c>
      <c r="AN16" s="392">
        <f>SUM(AN8:AN15)</f>
        <v>14.265392857087507</v>
      </c>
      <c r="AO16" s="392">
        <f>SUM(AO8:AO15)</f>
        <v>14.923442886361869</v>
      </c>
      <c r="AP16" s="392">
        <f>SUM(AP8:AP15)</f>
        <v>15.611848184878808</v>
      </c>
      <c r="AQ16" s="392">
        <f>SUM(AQ8:AQ15)</f>
        <v>16.332009014517809</v>
      </c>
    </row>
    <row r="17" spans="1:43">
      <c r="A17" s="277">
        <v>10</v>
      </c>
      <c r="B17" s="278" t="s">
        <v>171</v>
      </c>
      <c r="C17" s="404">
        <v>0</v>
      </c>
      <c r="D17" s="404">
        <v>0</v>
      </c>
      <c r="E17" s="404">
        <v>0</v>
      </c>
      <c r="F17" s="404">
        <v>0</v>
      </c>
      <c r="G17" s="404">
        <v>0</v>
      </c>
      <c r="I17" s="277">
        <v>10</v>
      </c>
      <c r="J17" s="278" t="s">
        <v>171</v>
      </c>
      <c r="K17" s="393">
        <v>0</v>
      </c>
      <c r="L17" s="393">
        <v>0</v>
      </c>
      <c r="M17" s="393">
        <v>0</v>
      </c>
      <c r="N17" s="393">
        <v>0</v>
      </c>
      <c r="O17" s="393">
        <v>0</v>
      </c>
      <c r="Q17" s="277">
        <v>10</v>
      </c>
      <c r="R17" s="278" t="s">
        <v>171</v>
      </c>
      <c r="S17" s="393">
        <v>0</v>
      </c>
      <c r="T17" s="393">
        <v>0</v>
      </c>
      <c r="U17" s="393">
        <v>0</v>
      </c>
      <c r="V17" s="393">
        <v>0</v>
      </c>
      <c r="X17" s="277">
        <v>10</v>
      </c>
      <c r="Y17" s="278" t="s">
        <v>171</v>
      </c>
      <c r="Z17" s="393">
        <v>0</v>
      </c>
      <c r="AA17" s="393">
        <v>0</v>
      </c>
      <c r="AB17" s="393">
        <v>0</v>
      </c>
      <c r="AC17" s="393">
        <v>0</v>
      </c>
      <c r="AD17" s="393">
        <v>0</v>
      </c>
      <c r="AF17" s="393">
        <v>0</v>
      </c>
      <c r="AG17" s="393">
        <v>0</v>
      </c>
      <c r="AH17" s="393">
        <v>0</v>
      </c>
      <c r="AI17" s="393">
        <v>0</v>
      </c>
      <c r="AK17" s="277">
        <v>10</v>
      </c>
      <c r="AL17" s="278" t="s">
        <v>171</v>
      </c>
      <c r="AM17" s="393">
        <v>0</v>
      </c>
      <c r="AN17" s="393">
        <v>0</v>
      </c>
      <c r="AO17" s="393">
        <v>0</v>
      </c>
      <c r="AP17" s="393">
        <v>0</v>
      </c>
      <c r="AQ17" s="393">
        <v>0</v>
      </c>
    </row>
    <row r="18" spans="1:43">
      <c r="A18" s="277">
        <v>11</v>
      </c>
      <c r="B18" s="282" t="s">
        <v>317</v>
      </c>
      <c r="C18" s="408">
        <f>C16-C17</f>
        <v>743290</v>
      </c>
      <c r="D18" s="408">
        <f t="shared" ref="D18" si="22">D16-D17</f>
        <v>999773.50580000004</v>
      </c>
      <c r="E18" s="408">
        <f t="shared" ref="E18" si="23">E16-E17</f>
        <v>981122.58</v>
      </c>
      <c r="F18" s="408">
        <f t="shared" ref="F18" si="24">F16-F17</f>
        <v>748542.5</v>
      </c>
      <c r="G18" s="408">
        <f t="shared" ref="G18" si="25">G16-G17</f>
        <v>2047236.56</v>
      </c>
      <c r="I18" s="277">
        <v>11</v>
      </c>
      <c r="J18" s="282" t="s">
        <v>317</v>
      </c>
      <c r="K18" s="394">
        <f>K16-K17</f>
        <v>7.4329000000000001</v>
      </c>
      <c r="L18" s="394">
        <f t="shared" ref="L18:O18" si="26">L16-L17</f>
        <v>9.997735058</v>
      </c>
      <c r="M18" s="394">
        <f t="shared" si="26"/>
        <v>9.811225799999999</v>
      </c>
      <c r="N18" s="394">
        <f t="shared" si="26"/>
        <v>7.4854250000000002</v>
      </c>
      <c r="O18" s="394">
        <f t="shared" si="26"/>
        <v>20.4723656</v>
      </c>
      <c r="Q18" s="277">
        <v>11</v>
      </c>
      <c r="R18" s="282" t="s">
        <v>317</v>
      </c>
      <c r="S18" s="394">
        <f>S16-S17</f>
        <v>11.039930291600001</v>
      </c>
      <c r="T18" s="394">
        <f>T16-T17</f>
        <v>11.575956854886265</v>
      </c>
      <c r="U18" s="394">
        <f>U16-U17</f>
        <v>12.109945566136654</v>
      </c>
      <c r="V18" s="394">
        <f>V16-V17</f>
        <v>12.66856670711336</v>
      </c>
      <c r="X18" s="277">
        <v>11</v>
      </c>
      <c r="Y18" s="282" t="s">
        <v>317</v>
      </c>
      <c r="Z18" s="394">
        <f>Z16-Z17</f>
        <v>13.252956550140942</v>
      </c>
      <c r="AA18" s="394">
        <f>AA16-AA17</f>
        <v>13.864303782787196</v>
      </c>
      <c r="AB18" s="394">
        <f>AB16-AB17</f>
        <v>14.503851925732237</v>
      </c>
      <c r="AC18" s="394">
        <f>AC16-AC17</f>
        <v>15.172901862171752</v>
      </c>
      <c r="AD18" s="394">
        <f>AD16-AD17</f>
        <v>15.872814483899413</v>
      </c>
      <c r="AF18" s="394">
        <f>AF16-AF17</f>
        <v>11.039930291600001</v>
      </c>
      <c r="AG18" s="394">
        <f>AG16-AG17</f>
        <v>11.686356157802264</v>
      </c>
      <c r="AH18" s="394">
        <f>AH16-AH17</f>
        <v>12.342301053402689</v>
      </c>
      <c r="AI18" s="394">
        <f>AI16-AI17</f>
        <v>13.035063559236312</v>
      </c>
      <c r="AK18" s="277">
        <v>11</v>
      </c>
      <c r="AL18" s="282" t="s">
        <v>317</v>
      </c>
      <c r="AM18" s="394">
        <f>AM16-AM17</f>
        <v>13.636359579800295</v>
      </c>
      <c r="AN18" s="394">
        <f>AN16-AN17</f>
        <v>14.265392857087507</v>
      </c>
      <c r="AO18" s="394">
        <f>AO16-AO17</f>
        <v>14.923442886361869</v>
      </c>
      <c r="AP18" s="394">
        <f>AP16-AP17</f>
        <v>15.611848184878808</v>
      </c>
      <c r="AQ18" s="394">
        <f>AQ16-AQ17</f>
        <v>16.332009014517809</v>
      </c>
    </row>
    <row r="21" spans="1:43" ht="13.9">
      <c r="K21" s="382"/>
      <c r="L21" s="382"/>
      <c r="M21" s="382"/>
      <c r="N21" s="382"/>
      <c r="O21" s="382"/>
      <c r="T21" s="432" t="s">
        <v>122</v>
      </c>
      <c r="AF21" s="432" t="s">
        <v>123</v>
      </c>
    </row>
    <row r="22" spans="1:43">
      <c r="I22" s="610"/>
      <c r="J22" s="610"/>
      <c r="K22" s="610"/>
      <c r="L22" s="610"/>
      <c r="M22" s="610"/>
      <c r="N22" s="610"/>
      <c r="O22" s="610"/>
      <c r="S22" s="479"/>
      <c r="T22" s="466" t="s">
        <v>124</v>
      </c>
      <c r="U22" s="467">
        <v>4.8553437306946882E-2</v>
      </c>
      <c r="AF22" s="466" t="s">
        <v>124</v>
      </c>
      <c r="AG22" s="467">
        <v>5.8553437306946884E-2</v>
      </c>
    </row>
    <row r="23" spans="1:43">
      <c r="I23" s="611"/>
      <c r="J23" s="612"/>
      <c r="K23" s="613"/>
      <c r="L23" s="613"/>
      <c r="M23" s="613"/>
      <c r="N23" s="613"/>
      <c r="O23" s="613"/>
      <c r="S23" s="479"/>
      <c r="T23" s="466" t="s">
        <v>125</v>
      </c>
      <c r="U23" s="467">
        <v>4.6129120723613429E-2</v>
      </c>
      <c r="AF23" s="466" t="s">
        <v>125</v>
      </c>
      <c r="AG23" s="467">
        <v>5.6129120723613431E-2</v>
      </c>
    </row>
    <row r="24" spans="1:43">
      <c r="I24" s="611"/>
      <c r="J24" s="612"/>
      <c r="K24" s="613"/>
      <c r="L24" s="613"/>
      <c r="M24" s="613"/>
      <c r="N24" s="613"/>
      <c r="O24" s="613"/>
      <c r="S24" s="479"/>
      <c r="T24" s="466" t="s">
        <v>126</v>
      </c>
      <c r="U24" s="467">
        <v>4.6129120723613429E-2</v>
      </c>
      <c r="AF24" s="466" t="s">
        <v>126</v>
      </c>
      <c r="AG24" s="467">
        <v>5.6129120723613431E-2</v>
      </c>
    </row>
    <row r="25" spans="1:43">
      <c r="I25" s="611"/>
      <c r="J25" s="612"/>
      <c r="K25" s="613"/>
      <c r="L25" s="613"/>
      <c r="M25" s="613"/>
      <c r="N25" s="613"/>
      <c r="O25" s="613"/>
      <c r="S25" s="479"/>
      <c r="T25" s="466" t="s">
        <v>127</v>
      </c>
      <c r="U25" s="467">
        <v>4.6129120723613429E-2</v>
      </c>
      <c r="AF25" s="466" t="s">
        <v>127</v>
      </c>
      <c r="AG25" s="467">
        <v>4.6129120723613429E-2</v>
      </c>
    </row>
    <row r="26" spans="1:43">
      <c r="I26" s="611"/>
      <c r="J26" s="612"/>
      <c r="K26" s="613"/>
      <c r="L26" s="613"/>
      <c r="M26" s="613"/>
      <c r="N26" s="613"/>
      <c r="O26" s="613"/>
    </row>
    <row r="27" spans="1:43">
      <c r="I27" s="611"/>
      <c r="J27" s="612"/>
      <c r="K27" s="613"/>
      <c r="L27" s="613"/>
      <c r="M27" s="613"/>
      <c r="N27" s="613"/>
      <c r="O27" s="613"/>
    </row>
    <row r="28" spans="1:43">
      <c r="I28" s="611"/>
      <c r="J28" s="614"/>
      <c r="K28" s="613"/>
      <c r="L28" s="613"/>
      <c r="M28" s="613"/>
      <c r="N28" s="613"/>
      <c r="O28" s="613"/>
    </row>
    <row r="29" spans="1:43">
      <c r="I29" s="611"/>
      <c r="J29" s="612"/>
      <c r="K29" s="613"/>
      <c r="L29" s="613"/>
      <c r="M29" s="613"/>
      <c r="N29" s="613"/>
      <c r="O29" s="613"/>
    </row>
    <row r="30" spans="1:43">
      <c r="I30" s="611"/>
      <c r="J30" s="612"/>
      <c r="K30" s="613"/>
      <c r="L30" s="613"/>
      <c r="M30" s="613"/>
      <c r="N30" s="613"/>
      <c r="O30" s="613"/>
    </row>
    <row r="31" spans="1:43">
      <c r="I31" s="611"/>
      <c r="J31" s="615"/>
      <c r="K31" s="616"/>
      <c r="L31" s="616"/>
      <c r="M31" s="616"/>
      <c r="N31" s="616"/>
      <c r="O31" s="616"/>
    </row>
    <row r="32" spans="1:43">
      <c r="I32" s="611"/>
      <c r="J32" s="617"/>
      <c r="K32" s="613"/>
      <c r="L32" s="613"/>
      <c r="M32" s="613"/>
      <c r="N32" s="613"/>
      <c r="O32" s="613"/>
    </row>
    <row r="33" spans="9:15">
      <c r="I33" s="611"/>
      <c r="J33" s="610"/>
      <c r="K33" s="616"/>
      <c r="L33" s="616"/>
      <c r="M33" s="616"/>
      <c r="N33" s="616"/>
      <c r="O33" s="616"/>
    </row>
  </sheetData>
  <mergeCells count="18">
    <mergeCell ref="Z6:Z7"/>
    <mergeCell ref="AA6:AA7"/>
    <mergeCell ref="Q6:Q7"/>
    <mergeCell ref="R6:R7"/>
    <mergeCell ref="AO6:AO7"/>
    <mergeCell ref="AB6:AB7"/>
    <mergeCell ref="S6:S7"/>
    <mergeCell ref="X6:X7"/>
    <mergeCell ref="Y6:Y7"/>
    <mergeCell ref="AP6:AP7"/>
    <mergeCell ref="AQ6:AQ7"/>
    <mergeCell ref="AC6:AC7"/>
    <mergeCell ref="AD6:AD7"/>
    <mergeCell ref="AK6:AK7"/>
    <mergeCell ref="AL6:AL7"/>
    <mergeCell ref="AM6:AM7"/>
    <mergeCell ref="AN6:AN7"/>
    <mergeCell ref="AF6:AF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17"/>
  <sheetViews>
    <sheetView showGridLines="0" view="pageBreakPreview" zoomScale="86" zoomScaleSheetLayoutView="70" workbookViewId="0">
      <selection activeCell="D10" sqref="D10:H10"/>
    </sheetView>
  </sheetViews>
  <sheetFormatPr defaultColWidth="9.140625" defaultRowHeight="13.9"/>
  <cols>
    <col min="1" max="1" width="4.140625" style="70" customWidth="1"/>
    <col min="2" max="2" width="6.42578125" style="70" customWidth="1"/>
    <col min="3" max="3" width="46.5703125" style="70" customWidth="1"/>
    <col min="4" max="4" width="13" style="70" customWidth="1"/>
    <col min="5" max="5" width="15.5703125" style="70" customWidth="1"/>
    <col min="6" max="9" width="18.5703125" style="70" customWidth="1"/>
    <col min="10" max="13" width="16" style="70" customWidth="1"/>
    <col min="14" max="14" width="14.5703125" style="70" customWidth="1"/>
    <col min="15" max="16384" width="9.140625" style="70"/>
  </cols>
  <sheetData>
    <row r="1" spans="2:9">
      <c r="B1" s="69"/>
    </row>
    <row r="2" spans="2:9">
      <c r="C2" s="78"/>
      <c r="D2" s="78"/>
      <c r="E2" s="78"/>
      <c r="F2" s="78"/>
      <c r="G2" s="52" t="s">
        <v>0</v>
      </c>
      <c r="H2" s="78"/>
      <c r="I2" s="78"/>
    </row>
    <row r="3" spans="2:9">
      <c r="C3" s="78"/>
      <c r="D3" s="78"/>
      <c r="E3" s="78"/>
      <c r="F3" s="78"/>
      <c r="G3" s="55" t="s">
        <v>1</v>
      </c>
      <c r="H3" s="78"/>
      <c r="I3" s="78"/>
    </row>
    <row r="4" spans="2:9">
      <c r="C4" s="126"/>
      <c r="D4" s="126"/>
      <c r="E4" s="126"/>
      <c r="F4" s="126"/>
      <c r="G4" s="71" t="s">
        <v>318</v>
      </c>
      <c r="H4" s="126"/>
      <c r="I4" s="126"/>
    </row>
    <row r="5" spans="2:9">
      <c r="B5" s="71"/>
      <c r="C5" s="127"/>
      <c r="D5" s="127"/>
      <c r="E5" s="127"/>
      <c r="F5" s="127"/>
      <c r="G5" s="127"/>
      <c r="H5" s="127"/>
      <c r="I5" s="127"/>
    </row>
    <row r="6" spans="2:9">
      <c r="I6" s="72" t="s">
        <v>52</v>
      </c>
    </row>
    <row r="7" spans="2:9" s="73" customFormat="1">
      <c r="B7" s="788" t="s">
        <v>2</v>
      </c>
      <c r="C7" s="791" t="s">
        <v>53</v>
      </c>
      <c r="D7" s="748" t="s">
        <v>54</v>
      </c>
      <c r="E7" s="748"/>
      <c r="F7" s="748"/>
      <c r="G7" s="748"/>
      <c r="H7" s="748"/>
      <c r="I7" s="748" t="s">
        <v>55</v>
      </c>
    </row>
    <row r="8" spans="2:9" s="73" customFormat="1" ht="41.25" customHeight="1">
      <c r="B8" s="789"/>
      <c r="C8" s="791"/>
      <c r="D8" s="153" t="s">
        <v>56</v>
      </c>
      <c r="E8" s="153" t="s">
        <v>57</v>
      </c>
      <c r="F8" s="153" t="s">
        <v>58</v>
      </c>
      <c r="G8" s="153" t="s">
        <v>59</v>
      </c>
      <c r="H8" s="153" t="s">
        <v>60</v>
      </c>
      <c r="I8" s="748"/>
    </row>
    <row r="9" spans="2:9" s="73" customFormat="1">
      <c r="B9" s="790"/>
      <c r="C9" s="792"/>
      <c r="D9" s="153" t="s">
        <v>61</v>
      </c>
      <c r="E9" s="153" t="s">
        <v>61</v>
      </c>
      <c r="F9" s="153" t="s">
        <v>61</v>
      </c>
      <c r="G9" s="153" t="s">
        <v>61</v>
      </c>
      <c r="H9" s="153" t="s">
        <v>61</v>
      </c>
      <c r="I9" s="749"/>
    </row>
    <row r="10" spans="2:9" s="76" customFormat="1">
      <c r="B10" s="74">
        <v>1</v>
      </c>
      <c r="C10" s="75" t="s">
        <v>319</v>
      </c>
      <c r="D10" s="74">
        <f>'F3.1'!M19</f>
        <v>199.76220000000001</v>
      </c>
      <c r="E10" s="74">
        <f>'F3.1'!M31</f>
        <v>30</v>
      </c>
      <c r="F10" s="74">
        <f>'F3.1'!M37</f>
        <v>40</v>
      </c>
      <c r="G10" s="74">
        <f>'F3.1'!M46</f>
        <v>90</v>
      </c>
      <c r="H10" s="74">
        <v>0</v>
      </c>
      <c r="I10" s="128"/>
    </row>
    <row r="11" spans="2:9" s="76" customFormat="1">
      <c r="B11" s="74"/>
      <c r="C11" s="75"/>
      <c r="D11" s="128"/>
      <c r="E11" s="128"/>
      <c r="F11" s="79"/>
      <c r="G11" s="128"/>
      <c r="H11" s="128"/>
      <c r="I11" s="128"/>
    </row>
    <row r="12" spans="2:9" s="76" customFormat="1">
      <c r="B12" s="74">
        <f>B10+1</f>
        <v>2</v>
      </c>
      <c r="C12" s="77" t="s">
        <v>320</v>
      </c>
      <c r="D12" s="74">
        <f>D10</f>
        <v>199.76220000000001</v>
      </c>
      <c r="E12" s="74">
        <f t="shared" ref="E12:H12" si="0">E10</f>
        <v>30</v>
      </c>
      <c r="F12" s="74">
        <f t="shared" si="0"/>
        <v>40</v>
      </c>
      <c r="G12" s="74">
        <f t="shared" si="0"/>
        <v>90</v>
      </c>
      <c r="H12" s="74">
        <f t="shared" si="0"/>
        <v>0</v>
      </c>
      <c r="I12" s="77"/>
    </row>
    <row r="13" spans="2:9" s="76" customFormat="1">
      <c r="B13" s="74">
        <f t="shared" ref="B13:B14" si="1">B12+1</f>
        <v>3</v>
      </c>
      <c r="C13" s="77" t="s">
        <v>321</v>
      </c>
      <c r="D13" s="74"/>
      <c r="E13" s="74"/>
      <c r="F13" s="74"/>
      <c r="G13" s="74"/>
      <c r="H13" s="74"/>
      <c r="I13" s="77"/>
    </row>
    <row r="14" spans="2:9" s="76" customFormat="1">
      <c r="B14" s="74">
        <f t="shared" si="1"/>
        <v>4</v>
      </c>
      <c r="C14" s="77" t="s">
        <v>322</v>
      </c>
      <c r="D14" s="74">
        <f>SUM(D12:D13)</f>
        <v>199.76220000000001</v>
      </c>
      <c r="E14" s="74">
        <f t="shared" ref="E14:H14" si="2">SUM(E12:E13)</f>
        <v>30</v>
      </c>
      <c r="F14" s="74">
        <f t="shared" si="2"/>
        <v>40</v>
      </c>
      <c r="G14" s="74">
        <f t="shared" si="2"/>
        <v>90</v>
      </c>
      <c r="H14" s="74">
        <f t="shared" si="2"/>
        <v>0</v>
      </c>
      <c r="I14" s="77"/>
    </row>
    <row r="15" spans="2:9" s="78" customFormat="1">
      <c r="B15" s="79"/>
      <c r="C15" s="80"/>
      <c r="D15" s="80"/>
      <c r="E15" s="82"/>
      <c r="F15" s="82"/>
      <c r="G15" s="82"/>
      <c r="H15" s="82"/>
      <c r="I15" s="82"/>
    </row>
    <row r="16" spans="2:9">
      <c r="B16" s="83" t="s">
        <v>323</v>
      </c>
    </row>
    <row r="17" spans="2:3">
      <c r="B17" s="73"/>
      <c r="C17" s="70" t="s">
        <v>324</v>
      </c>
    </row>
  </sheetData>
  <mergeCells count="4">
    <mergeCell ref="I7:I9"/>
    <mergeCell ref="B7:B9"/>
    <mergeCell ref="C7:C9"/>
    <mergeCell ref="D7:H7"/>
  </mergeCells>
  <pageMargins left="0.47" right="0.25" top="1" bottom="1" header="0.25" footer="0.25"/>
  <pageSetup paperSize="9" scale="59"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33E93C2172E34383842067FE3A7EF6" ma:contentTypeVersion="11" ma:contentTypeDescription="Create a new document." ma:contentTypeScope="" ma:versionID="d6fda382707218b834044c13dea57434">
  <xsd:schema xmlns:xsd="http://www.w3.org/2001/XMLSchema" xmlns:xs="http://www.w3.org/2001/XMLSchema" xmlns:p="http://schemas.microsoft.com/office/2006/metadata/properties" xmlns:ns2="0508b0c6-d943-4577-ae4c-84b656c09f0c" xmlns:ns3="071f62f0-0511-4d17-a076-878e40549982" targetNamespace="http://schemas.microsoft.com/office/2006/metadata/properties" ma:root="true" ma:fieldsID="767bb5ca9da022703f14e437c7cf86ad" ns2:_="" ns3:_="">
    <xsd:import namespace="0508b0c6-d943-4577-ae4c-84b656c09f0c"/>
    <xsd:import namespace="071f62f0-0511-4d17-a076-878e405499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8b0c6-d943-4577-ae4c-84b656c09f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1f62f0-0511-4d17-a076-878e405499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c365ee6-0335-4133-b881-cf231cb1c840}" ma:internalName="TaxCatchAll" ma:showField="CatchAllData" ma:web="071f62f0-0511-4d17-a076-878e405499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1f62f0-0511-4d17-a076-878e40549982" xsi:nil="true"/>
    <lcf76f155ced4ddcb4097134ff3c332f xmlns="0508b0c6-d943-4577-ae4c-84b656c09f0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FB683C-C214-4033-9B3B-E1B108CB2BA0}"/>
</file>

<file path=customXml/itemProps2.xml><?xml version="1.0" encoding="utf-8"?>
<ds:datastoreItem xmlns:ds="http://schemas.openxmlformats.org/officeDocument/2006/customXml" ds:itemID="{7C77C0A3-0E4D-47A1-B206-40867ABFA42A}"/>
</file>

<file path=customXml/itemProps3.xml><?xml version="1.0" encoding="utf-8"?>
<ds:datastoreItem xmlns:ds="http://schemas.openxmlformats.org/officeDocument/2006/customXml" ds:itemID="{9A1B1695-F80A-4633-B3E8-1177136C7A9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Palaniappan M</dc:creator>
  <cp:keywords/>
  <dc:description/>
  <cp:lastModifiedBy/>
  <cp:revision/>
  <dcterms:created xsi:type="dcterms:W3CDTF">2004-07-28T05:30:50Z</dcterms:created>
  <dcterms:modified xsi:type="dcterms:W3CDTF">2024-12-12T11:10:36Z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2024-10-08T08:50:47Z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8c110276-a409-44ad-9e6f-eb0f976d909e</vt:lpwstr>
  </property>
  <property fmtid="{D5CDD505-2E9C-101B-9397-08002B2CF9AE}" pid="8" name="MSIP_Label_ea60d57e-af5b-4752-ac57-3e4f28ca11dc_ContentBits">
    <vt:lpwstr>0</vt:lpwstr>
  </property>
  <property fmtid="{D5CDD505-2E9C-101B-9397-08002B2CF9AE}" pid="9" name="ContentTypeId">
    <vt:lpwstr>0x0101007333E93C2172E34383842067FE3A7EF6</vt:lpwstr>
  </property>
  <property fmtid="{D5CDD505-2E9C-101B-9397-08002B2CF9AE}" pid="10" name="MediaServiceImageTags">
    <vt:lpwstr/>
  </property>
</Properties>
</file>